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A4769B62-245B-4BEC-90D2-D60E7F8DBD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-6" sheetId="1" r:id="rId1"/>
  </sheets>
  <definedNames>
    <definedName name="_xlnm.Print_Area" localSheetId="0">'C-6'!$A$1:$AJ$150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135" i="1" l="1"/>
  <c r="AJ134" i="1"/>
  <c r="AI134" i="1" s="1"/>
  <c r="AJ121" i="1"/>
  <c r="AI121" i="1"/>
  <c r="AH121" i="1"/>
  <c r="AG121" i="1"/>
  <c r="AJ120" i="1"/>
  <c r="AI120" i="1"/>
  <c r="AH120" i="1"/>
  <c r="AG120" i="1"/>
  <c r="AJ119" i="1"/>
  <c r="AG119" i="1" s="1"/>
  <c r="AJ118" i="1"/>
  <c r="AH118" i="1" s="1"/>
  <c r="AJ117" i="1"/>
  <c r="AH117" i="1" s="1"/>
  <c r="AJ116" i="1"/>
  <c r="AH116" i="1" s="1"/>
  <c r="AJ115" i="1"/>
  <c r="AH115" i="1" s="1"/>
  <c r="AJ114" i="1"/>
  <c r="AH114" i="1" s="1"/>
  <c r="AJ111" i="1"/>
  <c r="AH111" i="1" s="1"/>
  <c r="AJ110" i="1"/>
  <c r="AI110" i="1" s="1"/>
  <c r="AJ107" i="1"/>
  <c r="AI107" i="1" s="1"/>
  <c r="AJ106" i="1"/>
  <c r="AI106" i="1" s="1"/>
  <c r="AJ105" i="1"/>
  <c r="AI105" i="1" s="1"/>
  <c r="AJ102" i="1"/>
  <c r="AI102" i="1" s="1"/>
  <c r="AJ101" i="1"/>
  <c r="AG101" i="1" s="1"/>
  <c r="AJ100" i="1"/>
  <c r="AI100" i="1"/>
  <c r="AH100" i="1"/>
  <c r="AG100" i="1"/>
  <c r="AJ99" i="1"/>
  <c r="AG99" i="1" s="1"/>
  <c r="AJ94" i="1"/>
  <c r="AH94" i="1" s="1"/>
  <c r="AJ91" i="1"/>
  <c r="AH91" i="1" s="1"/>
  <c r="AJ90" i="1"/>
  <c r="AJ89" i="1"/>
  <c r="AI89" i="1"/>
  <c r="AH89" i="1"/>
  <c r="AG89" i="1"/>
  <c r="AJ88" i="1"/>
  <c r="AJ85" i="1"/>
  <c r="AI85" i="1" s="1"/>
  <c r="AJ84" i="1"/>
  <c r="AI84" i="1"/>
  <c r="AH84" i="1"/>
  <c r="AG84" i="1"/>
  <c r="AJ72" i="1"/>
  <c r="AG72" i="1" s="1"/>
  <c r="AJ71" i="1"/>
  <c r="AG71" i="1" s="1"/>
  <c r="AJ70" i="1"/>
  <c r="AI70" i="1"/>
  <c r="AH70" i="1"/>
  <c r="AG70" i="1"/>
  <c r="AJ69" i="1"/>
  <c r="AG69" i="1" s="1"/>
  <c r="AJ67" i="1"/>
  <c r="AH67" i="1" s="1"/>
  <c r="AJ62" i="1"/>
  <c r="AI62" i="1" s="1"/>
  <c r="AJ59" i="1"/>
  <c r="AI59" i="1" s="1"/>
  <c r="AJ58" i="1"/>
  <c r="AG58" i="1" s="1"/>
  <c r="AJ57" i="1"/>
  <c r="AI57" i="1"/>
  <c r="AH57" i="1"/>
  <c r="AG57" i="1"/>
  <c r="AJ53" i="1"/>
  <c r="AH53" i="1" s="1"/>
  <c r="AJ52" i="1"/>
  <c r="AI52" i="1"/>
  <c r="AH52" i="1"/>
  <c r="AG52" i="1"/>
  <c r="AJ51" i="1"/>
  <c r="AI51" i="1" s="1"/>
  <c r="AJ50" i="1"/>
  <c r="AH50" i="1" s="1"/>
  <c r="AJ49" i="1"/>
  <c r="AH49" i="1" s="1"/>
  <c r="AJ47" i="1"/>
  <c r="AI47" i="1"/>
  <c r="AH47" i="1"/>
  <c r="AG47" i="1"/>
  <c r="AJ46" i="1"/>
  <c r="AJ45" i="1"/>
  <c r="AI45" i="1" s="1"/>
  <c r="AJ43" i="1"/>
  <c r="AJ42" i="1"/>
  <c r="AI42" i="1" s="1"/>
  <c r="AJ41" i="1"/>
  <c r="AI41" i="1" s="1"/>
  <c r="AJ38" i="1"/>
  <c r="AI38" i="1"/>
  <c r="AH38" i="1"/>
  <c r="AG38" i="1"/>
  <c r="AJ35" i="1"/>
  <c r="AI35" i="1" s="1"/>
  <c r="AJ31" i="1"/>
  <c r="AI31" i="1" s="1"/>
  <c r="AJ30" i="1"/>
  <c r="AJ29" i="1"/>
  <c r="AH29" i="1" s="1"/>
  <c r="AJ27" i="1"/>
  <c r="AH27" i="1" s="1"/>
  <c r="AJ26" i="1"/>
  <c r="AH26" i="1" s="1"/>
  <c r="AJ24" i="1"/>
  <c r="AH24" i="1" s="1"/>
  <c r="AJ22" i="1"/>
  <c r="AI22" i="1" s="1"/>
  <c r="AJ20" i="1"/>
  <c r="AH20" i="1" s="1"/>
  <c r="AJ19" i="1"/>
  <c r="AH19" i="1" s="1"/>
  <c r="AJ16" i="1"/>
  <c r="AJ15" i="1"/>
  <c r="AI15" i="1" s="1"/>
  <c r="AJ13" i="1"/>
  <c r="AG13" i="1" s="1"/>
  <c r="AJ12" i="1"/>
  <c r="AI12" i="1" s="1"/>
  <c r="AJ11" i="1"/>
  <c r="AH11" i="1" s="1"/>
  <c r="AJ10" i="1"/>
  <c r="AG10" i="1" s="1"/>
  <c r="AJ9" i="1"/>
  <c r="AG9" i="1" s="1"/>
  <c r="AJ8" i="1"/>
  <c r="AI8" i="1"/>
  <c r="AH8" i="1"/>
  <c r="AG8" i="1"/>
  <c r="AF28" i="1"/>
  <c r="AJ28" i="1" s="1"/>
  <c r="AF25" i="1"/>
  <c r="AJ25" i="1" s="1"/>
  <c r="AF33" i="1"/>
  <c r="AJ33" i="1" s="1"/>
  <c r="AF48" i="1"/>
  <c r="AJ48" i="1" s="1"/>
  <c r="AG48" i="1" s="1"/>
  <c r="AF34" i="1"/>
  <c r="AF44" i="1"/>
  <c r="AF32" i="1"/>
  <c r="AF23" i="1"/>
  <c r="AJ23" i="1" s="1"/>
  <c r="AF14" i="1"/>
  <c r="AF17" i="1" s="1"/>
  <c r="AF95" i="1"/>
  <c r="AF96" i="1" s="1"/>
  <c r="AF112" i="1"/>
  <c r="AB136" i="1"/>
  <c r="AC136" i="1"/>
  <c r="AD136" i="1"/>
  <c r="AE136" i="1"/>
  <c r="AF136" i="1"/>
  <c r="AA136" i="1"/>
  <c r="AF36" i="1"/>
  <c r="AJ36" i="1" s="1"/>
  <c r="AF37" i="1"/>
  <c r="AJ37" i="1" s="1"/>
  <c r="AF68" i="1"/>
  <c r="AF73" i="1" s="1"/>
  <c r="AF61" i="1"/>
  <c r="AJ61" i="1" s="1"/>
  <c r="AF21" i="1"/>
  <c r="AF64" i="1"/>
  <c r="AF63" i="1"/>
  <c r="AF60" i="1"/>
  <c r="AJ60" i="1" s="1"/>
  <c r="AF56" i="1"/>
  <c r="AF124" i="1"/>
  <c r="AF126" i="1"/>
  <c r="AF127" i="1"/>
  <c r="AF128" i="1"/>
  <c r="AH128" i="1" s="1"/>
  <c r="AF122" i="1"/>
  <c r="AF108" i="1"/>
  <c r="AF103" i="1"/>
  <c r="AF92" i="1"/>
  <c r="AF86" i="1"/>
  <c r="Y96" i="1"/>
  <c r="AI53" i="1" l="1"/>
  <c r="AG41" i="1"/>
  <c r="AI50" i="1"/>
  <c r="AI101" i="1"/>
  <c r="AG42" i="1"/>
  <c r="AI71" i="1"/>
  <c r="AF54" i="1"/>
  <c r="AI19" i="1"/>
  <c r="AI119" i="1"/>
  <c r="AH101" i="1"/>
  <c r="AH119" i="1"/>
  <c r="AI27" i="1"/>
  <c r="AI9" i="1"/>
  <c r="AG19" i="1"/>
  <c r="AH72" i="1"/>
  <c r="AH99" i="1"/>
  <c r="AG114" i="1"/>
  <c r="AI72" i="1"/>
  <c r="AI99" i="1"/>
  <c r="AI114" i="1"/>
  <c r="AI115" i="1"/>
  <c r="AI49" i="1"/>
  <c r="AH71" i="1"/>
  <c r="AI116" i="1"/>
  <c r="AI11" i="1"/>
  <c r="AI20" i="1"/>
  <c r="AJ95" i="1"/>
  <c r="AH95" i="1" s="1"/>
  <c r="AG22" i="1"/>
  <c r="AG107" i="1"/>
  <c r="AH13" i="1"/>
  <c r="AH22" i="1"/>
  <c r="AH107" i="1"/>
  <c r="AI13" i="1"/>
  <c r="AI118" i="1"/>
  <c r="AG28" i="1"/>
  <c r="AH28" i="1"/>
  <c r="AI28" i="1"/>
  <c r="AG15" i="1"/>
  <c r="AG51" i="1"/>
  <c r="AH110" i="1"/>
  <c r="AH9" i="1"/>
  <c r="AI24" i="1"/>
  <c r="AG35" i="1"/>
  <c r="AG45" i="1"/>
  <c r="AH51" i="1"/>
  <c r="AG37" i="1"/>
  <c r="AI33" i="1"/>
  <c r="AG31" i="1"/>
  <c r="AG26" i="1"/>
  <c r="AH31" i="1"/>
  <c r="AH58" i="1"/>
  <c r="AG91" i="1"/>
  <c r="AG116" i="1"/>
  <c r="AI36" i="1"/>
  <c r="AH37" i="1"/>
  <c r="AI37" i="1"/>
  <c r="AI128" i="1"/>
  <c r="AJ68" i="1"/>
  <c r="AH68" i="1" s="1"/>
  <c r="AF65" i="1"/>
  <c r="AH12" i="1"/>
  <c r="AG20" i="1"/>
  <c r="AI26" i="1"/>
  <c r="AI58" i="1"/>
  <c r="AI91" i="1"/>
  <c r="AG110" i="1"/>
  <c r="AH41" i="1"/>
  <c r="AG95" i="1"/>
  <c r="AG111" i="1"/>
  <c r="AG117" i="1"/>
  <c r="AJ21" i="1"/>
  <c r="AI21" i="1" s="1"/>
  <c r="AG49" i="1"/>
  <c r="AI67" i="1"/>
  <c r="AH102" i="1"/>
  <c r="AI117" i="1"/>
  <c r="AI43" i="1"/>
  <c r="AH43" i="1"/>
  <c r="AG43" i="1"/>
  <c r="AI88" i="1"/>
  <c r="AH88" i="1"/>
  <c r="AG88" i="1"/>
  <c r="AI25" i="1"/>
  <c r="AH25" i="1"/>
  <c r="AG25" i="1"/>
  <c r="AF97" i="1"/>
  <c r="AI23" i="1"/>
  <c r="AG23" i="1"/>
  <c r="AI16" i="1"/>
  <c r="AH16" i="1"/>
  <c r="AG16" i="1"/>
  <c r="AI30" i="1"/>
  <c r="AH30" i="1"/>
  <c r="AG30" i="1"/>
  <c r="AJ136" i="1"/>
  <c r="AJ32" i="1"/>
  <c r="AH32" i="1" s="1"/>
  <c r="AH48" i="1"/>
  <c r="AF125" i="1"/>
  <c r="AF129" i="1" s="1"/>
  <c r="AJ34" i="1"/>
  <c r="AG34" i="1" s="1"/>
  <c r="AJ44" i="1"/>
  <c r="AG44" i="1" s="1"/>
  <c r="AI48" i="1"/>
  <c r="AG60" i="1"/>
  <c r="AJ63" i="1"/>
  <c r="AI63" i="1" s="1"/>
  <c r="AH60" i="1"/>
  <c r="AH15" i="1"/>
  <c r="AG29" i="1"/>
  <c r="AH35" i="1"/>
  <c r="AH42" i="1"/>
  <c r="AH45" i="1"/>
  <c r="AJ56" i="1"/>
  <c r="AI56" i="1" s="1"/>
  <c r="AI60" i="1"/>
  <c r="AG105" i="1"/>
  <c r="AG12" i="1"/>
  <c r="AH23" i="1"/>
  <c r="AH105" i="1"/>
  <c r="AJ64" i="1"/>
  <c r="AI64" i="1" s="1"/>
  <c r="AG33" i="1"/>
  <c r="AG36" i="1"/>
  <c r="AH61" i="1"/>
  <c r="AG106" i="1"/>
  <c r="AG134" i="1"/>
  <c r="AG24" i="1"/>
  <c r="AG27" i="1"/>
  <c r="AH33" i="1"/>
  <c r="AH36" i="1"/>
  <c r="AG50" i="1"/>
  <c r="AG53" i="1"/>
  <c r="AI61" i="1"/>
  <c r="AG67" i="1"/>
  <c r="AH106" i="1"/>
  <c r="AG115" i="1"/>
  <c r="AG118" i="1"/>
  <c r="AG128" i="1"/>
  <c r="AH134" i="1"/>
  <c r="AG61" i="1"/>
  <c r="AG102" i="1"/>
  <c r="AG94" i="1"/>
  <c r="AG85" i="1"/>
  <c r="AH85" i="1"/>
  <c r="AG59" i="1"/>
  <c r="AG62" i="1"/>
  <c r="AH59" i="1"/>
  <c r="AH62" i="1"/>
  <c r="AG11" i="1"/>
  <c r="AF39" i="1"/>
  <c r="AI32" i="1" l="1"/>
  <c r="AG32" i="1"/>
  <c r="AH64" i="1"/>
  <c r="AG68" i="1"/>
  <c r="AH56" i="1"/>
  <c r="AH21" i="1"/>
  <c r="AH44" i="1"/>
  <c r="AG64" i="1"/>
  <c r="AH34" i="1"/>
  <c r="AG21" i="1"/>
  <c r="AI68" i="1"/>
  <c r="AF74" i="1"/>
  <c r="AF131" i="1" s="1"/>
  <c r="AI44" i="1"/>
  <c r="AH136" i="1"/>
  <c r="AI136" i="1"/>
  <c r="AG136" i="1"/>
  <c r="AI34" i="1"/>
  <c r="AG56" i="1"/>
  <c r="AH63" i="1"/>
  <c r="AG63" i="1"/>
  <c r="AC112" i="1"/>
  <c r="Z96" i="1" l="1"/>
  <c r="AD112" i="1"/>
  <c r="AB112" i="1"/>
  <c r="AA112" i="1"/>
  <c r="AD96" i="1"/>
  <c r="AC96" i="1"/>
  <c r="AB96" i="1"/>
  <c r="AA96" i="1"/>
  <c r="AE96" i="1"/>
  <c r="Z112" i="1"/>
  <c r="AJ96" i="1" l="1"/>
  <c r="AE39" i="1"/>
  <c r="U112" i="1"/>
  <c r="U96" i="1"/>
  <c r="AE112" i="1"/>
  <c r="AJ112" i="1" s="1"/>
  <c r="AE122" i="1"/>
  <c r="V92" i="1"/>
  <c r="W92" i="1"/>
  <c r="X92" i="1"/>
  <c r="Y92" i="1"/>
  <c r="Z92" i="1"/>
  <c r="AA92" i="1"/>
  <c r="AB92" i="1"/>
  <c r="AC92" i="1"/>
  <c r="AD92" i="1"/>
  <c r="AE92" i="1"/>
  <c r="U92" i="1"/>
  <c r="B39" i="1"/>
  <c r="AG112" i="1" l="1"/>
  <c r="AH112" i="1"/>
  <c r="AI112" i="1"/>
  <c r="AJ92" i="1"/>
  <c r="AI96" i="1"/>
  <c r="AH96" i="1"/>
  <c r="AG96" i="1"/>
  <c r="U128" i="1"/>
  <c r="V128" i="1"/>
  <c r="W128" i="1"/>
  <c r="X128" i="1"/>
  <c r="Y128" i="1"/>
  <c r="Z128" i="1"/>
  <c r="AA128" i="1"/>
  <c r="AB128" i="1"/>
  <c r="AC128" i="1"/>
  <c r="AD128" i="1"/>
  <c r="AJ128" i="1" s="1"/>
  <c r="AE128" i="1"/>
  <c r="AI92" i="1" l="1"/>
  <c r="AG92" i="1"/>
  <c r="AH92" i="1"/>
  <c r="AD127" i="1"/>
  <c r="AD126" i="1"/>
  <c r="AD125" i="1"/>
  <c r="AD124" i="1"/>
  <c r="AJ124" i="1" s="1"/>
  <c r="AD122" i="1"/>
  <c r="AJ122" i="1" s="1"/>
  <c r="AD108" i="1"/>
  <c r="AD103" i="1"/>
  <c r="AD86" i="1"/>
  <c r="AD73" i="1"/>
  <c r="AD65" i="1"/>
  <c r="AD54" i="1"/>
  <c r="AD39" i="1"/>
  <c r="AJ39" i="1" s="1"/>
  <c r="AD14" i="1"/>
  <c r="AD97" i="1" l="1"/>
  <c r="AG39" i="1"/>
  <c r="AG122" i="1"/>
  <c r="AD17" i="1"/>
  <c r="AD129" i="1"/>
  <c r="AD74" i="1" l="1"/>
  <c r="AD131" i="1" s="1"/>
  <c r="T54" i="1"/>
  <c r="AC127" i="1" l="1"/>
  <c r="AC126" i="1"/>
  <c r="AC125" i="1"/>
  <c r="AC124" i="1"/>
  <c r="AC122" i="1"/>
  <c r="AC108" i="1"/>
  <c r="AC103" i="1"/>
  <c r="AC86" i="1"/>
  <c r="AC97" i="1" s="1"/>
  <c r="AC73" i="1"/>
  <c r="AC65" i="1"/>
  <c r="AC54" i="1"/>
  <c r="AC39" i="1"/>
  <c r="AC14" i="1"/>
  <c r="Y124" i="1"/>
  <c r="AE124" i="1"/>
  <c r="AG124" i="1" s="1"/>
  <c r="AE125" i="1"/>
  <c r="AJ125" i="1" s="1"/>
  <c r="AE127" i="1"/>
  <c r="AJ127" i="1" s="1"/>
  <c r="AE126" i="1"/>
  <c r="AJ126" i="1" s="1"/>
  <c r="AI126" i="1" l="1"/>
  <c r="AH126" i="1"/>
  <c r="AG126" i="1"/>
  <c r="AI127" i="1"/>
  <c r="AG127" i="1"/>
  <c r="AH127" i="1"/>
  <c r="AG125" i="1"/>
  <c r="AC129" i="1"/>
  <c r="AE129" i="1"/>
  <c r="AJ129" i="1" s="1"/>
  <c r="AC17" i="1"/>
  <c r="AC74" i="1" s="1"/>
  <c r="AB126" i="1"/>
  <c r="AA126" i="1"/>
  <c r="Z126" i="1"/>
  <c r="Y126" i="1"/>
  <c r="X126" i="1"/>
  <c r="W126" i="1"/>
  <c r="V126" i="1"/>
  <c r="U126" i="1"/>
  <c r="T126" i="1"/>
  <c r="S126" i="1"/>
  <c r="AB124" i="1"/>
  <c r="AA124" i="1"/>
  <c r="AH124" i="1" s="1"/>
  <c r="Z124" i="1"/>
  <c r="X124" i="1"/>
  <c r="W124" i="1"/>
  <c r="V124" i="1"/>
  <c r="AI124" i="1" s="1"/>
  <c r="T124" i="1"/>
  <c r="AB127" i="1"/>
  <c r="AB125" i="1"/>
  <c r="AB122" i="1"/>
  <c r="AB108" i="1"/>
  <c r="AB103" i="1"/>
  <c r="AB86" i="1"/>
  <c r="AB97" i="1" s="1"/>
  <c r="AB73" i="1"/>
  <c r="AB65" i="1"/>
  <c r="AB54" i="1"/>
  <c r="AB39" i="1"/>
  <c r="AB14" i="1"/>
  <c r="AB17" i="1" s="1"/>
  <c r="AG129" i="1" l="1"/>
  <c r="AB129" i="1"/>
  <c r="AC131" i="1"/>
  <c r="AB74" i="1"/>
  <c r="AB131" i="1" l="1"/>
  <c r="Y65" i="1"/>
  <c r="Y39" i="1"/>
  <c r="AE14" i="1"/>
  <c r="AJ14" i="1" s="1"/>
  <c r="AA14" i="1"/>
  <c r="AA17" i="1" s="1"/>
  <c r="Z14" i="1"/>
  <c r="Z17" i="1" s="1"/>
  <c r="Y14" i="1"/>
  <c r="Y17" i="1" s="1"/>
  <c r="X14" i="1"/>
  <c r="X17" i="1" s="1"/>
  <c r="W14" i="1"/>
  <c r="W17" i="1" s="1"/>
  <c r="S14" i="1"/>
  <c r="T14" i="1"/>
  <c r="V14" i="1"/>
  <c r="AH14" i="1" l="1"/>
  <c r="AI14" i="1"/>
  <c r="AG14" i="1"/>
  <c r="AE17" i="1"/>
  <c r="AJ17" i="1" s="1"/>
  <c r="AA127" i="1"/>
  <c r="AA125" i="1"/>
  <c r="AH125" i="1" s="1"/>
  <c r="AA122" i="1"/>
  <c r="AH122" i="1" s="1"/>
  <c r="AA108" i="1"/>
  <c r="AA103" i="1"/>
  <c r="AA86" i="1"/>
  <c r="AA97" i="1" s="1"/>
  <c r="AA73" i="1"/>
  <c r="AA65" i="1"/>
  <c r="AA54" i="1"/>
  <c r="AA39" i="1"/>
  <c r="AH39" i="1" s="1"/>
  <c r="AH17" i="1" l="1"/>
  <c r="AG17" i="1"/>
  <c r="AA129" i="1"/>
  <c r="AH129" i="1" s="1"/>
  <c r="AA74" i="1"/>
  <c r="AA131" i="1" l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AI122" i="1" s="1"/>
  <c r="W122" i="1"/>
  <c r="X122" i="1"/>
  <c r="Y122" i="1"/>
  <c r="Z122" i="1"/>
  <c r="B122" i="1"/>
  <c r="Z127" i="1"/>
  <c r="Z125" i="1"/>
  <c r="Z108" i="1"/>
  <c r="Z103" i="1"/>
  <c r="Z86" i="1"/>
  <c r="Z97" i="1" s="1"/>
  <c r="Z73" i="1"/>
  <c r="Z65" i="1"/>
  <c r="Z54" i="1"/>
  <c r="Z39" i="1"/>
  <c r="Z129" i="1" l="1"/>
  <c r="Z74" i="1"/>
  <c r="AE65" i="1"/>
  <c r="AJ65" i="1" s="1"/>
  <c r="AE86" i="1"/>
  <c r="AE73" i="1"/>
  <c r="AJ73" i="1" s="1"/>
  <c r="AE108" i="1"/>
  <c r="AJ108" i="1" s="1"/>
  <c r="AE103" i="1"/>
  <c r="AJ103" i="1" s="1"/>
  <c r="Q54" i="1"/>
  <c r="P54" i="1"/>
  <c r="V54" i="1"/>
  <c r="X54" i="1"/>
  <c r="AE54" i="1"/>
  <c r="AJ54" i="1" s="1"/>
  <c r="Y54" i="1"/>
  <c r="AI54" i="1" l="1"/>
  <c r="AG54" i="1"/>
  <c r="AH54" i="1"/>
  <c r="AH103" i="1"/>
  <c r="AI103" i="1"/>
  <c r="AG103" i="1"/>
  <c r="AI108" i="1"/>
  <c r="AH108" i="1"/>
  <c r="AG108" i="1"/>
  <c r="AG73" i="1"/>
  <c r="AH73" i="1"/>
  <c r="AE97" i="1"/>
  <c r="AJ97" i="1" s="1"/>
  <c r="AJ86" i="1"/>
  <c r="AH65" i="1"/>
  <c r="AG65" i="1"/>
  <c r="AE74" i="1"/>
  <c r="AJ74" i="1" s="1"/>
  <c r="Z131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T73" i="1"/>
  <c r="V73" i="1"/>
  <c r="AI73" i="1" s="1"/>
  <c r="X73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T65" i="1"/>
  <c r="V65" i="1"/>
  <c r="AI65" i="1" s="1"/>
  <c r="X65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T39" i="1"/>
  <c r="V39" i="1"/>
  <c r="AI39" i="1" s="1"/>
  <c r="X39" i="1"/>
  <c r="Y73" i="1"/>
  <c r="X125" i="1"/>
  <c r="W125" i="1"/>
  <c r="V125" i="1"/>
  <c r="AI125" i="1" s="1"/>
  <c r="T125" i="1"/>
  <c r="R125" i="1"/>
  <c r="Q125" i="1"/>
  <c r="P125" i="1"/>
  <c r="O125" i="1"/>
  <c r="N125" i="1"/>
  <c r="M125" i="1"/>
  <c r="L125" i="1"/>
  <c r="J125" i="1"/>
  <c r="I125" i="1"/>
  <c r="H125" i="1"/>
  <c r="G125" i="1"/>
  <c r="F125" i="1"/>
  <c r="E125" i="1"/>
  <c r="D125" i="1"/>
  <c r="C125" i="1"/>
  <c r="B125" i="1"/>
  <c r="Y125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B127" i="1"/>
  <c r="B124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B108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T103" i="1"/>
  <c r="V103" i="1"/>
  <c r="W103" i="1"/>
  <c r="X103" i="1"/>
  <c r="Y103" i="1"/>
  <c r="B103" i="1"/>
  <c r="C92" i="1"/>
  <c r="D92" i="1"/>
  <c r="E92" i="1"/>
  <c r="F92" i="1"/>
  <c r="G92" i="1"/>
  <c r="H92" i="1"/>
  <c r="I92" i="1"/>
  <c r="J92" i="1"/>
  <c r="L92" i="1"/>
  <c r="M92" i="1"/>
  <c r="N92" i="1"/>
  <c r="O92" i="1"/>
  <c r="P92" i="1"/>
  <c r="Q92" i="1"/>
  <c r="R92" i="1"/>
  <c r="S92" i="1"/>
  <c r="T92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U97" i="1" s="1"/>
  <c r="V86" i="1"/>
  <c r="W86" i="1"/>
  <c r="X86" i="1"/>
  <c r="Y86" i="1"/>
  <c r="B86" i="1"/>
  <c r="B92" i="1"/>
  <c r="C14" i="1"/>
  <c r="C17" i="1" s="1"/>
  <c r="D14" i="1"/>
  <c r="D17" i="1" s="1"/>
  <c r="E14" i="1"/>
  <c r="E17" i="1" s="1"/>
  <c r="F14" i="1"/>
  <c r="F17" i="1" s="1"/>
  <c r="G14" i="1"/>
  <c r="G17" i="1" s="1"/>
  <c r="H14" i="1"/>
  <c r="H17" i="1" s="1"/>
  <c r="I14" i="1"/>
  <c r="I17" i="1" s="1"/>
  <c r="J14" i="1"/>
  <c r="J17" i="1" s="1"/>
  <c r="K14" i="1"/>
  <c r="K17" i="1" s="1"/>
  <c r="L14" i="1"/>
  <c r="L17" i="1" s="1"/>
  <c r="M14" i="1"/>
  <c r="M17" i="1" s="1"/>
  <c r="N14" i="1"/>
  <c r="N17" i="1" s="1"/>
  <c r="O14" i="1"/>
  <c r="O17" i="1" s="1"/>
  <c r="P14" i="1"/>
  <c r="P17" i="1" s="1"/>
  <c r="Q14" i="1"/>
  <c r="Q17" i="1" s="1"/>
  <c r="T17" i="1"/>
  <c r="V17" i="1"/>
  <c r="AI17" i="1" s="1"/>
  <c r="B14" i="1"/>
  <c r="B17" i="1" s="1"/>
  <c r="R100" i="1"/>
  <c r="R103" i="1" s="1"/>
  <c r="S100" i="1"/>
  <c r="S124" i="1" s="1"/>
  <c r="U100" i="1"/>
  <c r="U124" i="1" s="1"/>
  <c r="B54" i="1"/>
  <c r="AG74" i="1" l="1"/>
  <c r="AH74" i="1"/>
  <c r="AI86" i="1"/>
  <c r="AG86" i="1"/>
  <c r="AH86" i="1"/>
  <c r="AH97" i="1"/>
  <c r="AG97" i="1"/>
  <c r="W129" i="1"/>
  <c r="Y129" i="1"/>
  <c r="X129" i="1"/>
  <c r="V129" i="1"/>
  <c r="AI129" i="1" s="1"/>
  <c r="I129" i="1"/>
  <c r="B97" i="1"/>
  <c r="C129" i="1"/>
  <c r="E129" i="1"/>
  <c r="T129" i="1"/>
  <c r="P129" i="1"/>
  <c r="O129" i="1"/>
  <c r="X97" i="1"/>
  <c r="T97" i="1"/>
  <c r="P97" i="1"/>
  <c r="L97" i="1"/>
  <c r="K74" i="1"/>
  <c r="G129" i="1"/>
  <c r="Q129" i="1"/>
  <c r="M129" i="1"/>
  <c r="G97" i="1"/>
  <c r="C97" i="1"/>
  <c r="H129" i="1"/>
  <c r="D129" i="1"/>
  <c r="L129" i="1"/>
  <c r="G74" i="1"/>
  <c r="C74" i="1"/>
  <c r="O74" i="1"/>
  <c r="Y97" i="1"/>
  <c r="Q97" i="1"/>
  <c r="M97" i="1"/>
  <c r="H97" i="1"/>
  <c r="D97" i="1"/>
  <c r="T74" i="1"/>
  <c r="P74" i="1"/>
  <c r="L74" i="1"/>
  <c r="H74" i="1"/>
  <c r="D74" i="1"/>
  <c r="W97" i="1"/>
  <c r="S97" i="1"/>
  <c r="O97" i="1"/>
  <c r="J97" i="1"/>
  <c r="F97" i="1"/>
  <c r="R124" i="1"/>
  <c r="R129" i="1" s="1"/>
  <c r="B129" i="1"/>
  <c r="F129" i="1"/>
  <c r="J129" i="1"/>
  <c r="N129" i="1"/>
  <c r="V74" i="1"/>
  <c r="AI74" i="1" s="1"/>
  <c r="N74" i="1"/>
  <c r="J74" i="1"/>
  <c r="F74" i="1"/>
  <c r="B74" i="1"/>
  <c r="V97" i="1"/>
  <c r="AI97" i="1" s="1"/>
  <c r="R97" i="1"/>
  <c r="N97" i="1"/>
  <c r="I97" i="1"/>
  <c r="E97" i="1"/>
  <c r="Q74" i="1"/>
  <c r="M74" i="1"/>
  <c r="I74" i="1"/>
  <c r="E74" i="1"/>
  <c r="B131" i="1" l="1"/>
  <c r="AE131" i="1"/>
  <c r="AJ131" i="1" s="1"/>
  <c r="Y74" i="1"/>
  <c r="Q131" i="1"/>
  <c r="H131" i="1"/>
  <c r="X74" i="1"/>
  <c r="E131" i="1"/>
  <c r="I131" i="1"/>
  <c r="T131" i="1"/>
  <c r="C131" i="1"/>
  <c r="L131" i="1"/>
  <c r="O131" i="1"/>
  <c r="F131" i="1"/>
  <c r="P131" i="1"/>
  <c r="M131" i="1"/>
  <c r="G131" i="1"/>
  <c r="D131" i="1"/>
  <c r="V131" i="1"/>
  <c r="J131" i="1"/>
  <c r="N131" i="1"/>
  <c r="AH131" i="1" l="1"/>
  <c r="AI131" i="1"/>
  <c r="AG131" i="1"/>
  <c r="Y131" i="1"/>
  <c r="X131" i="1"/>
  <c r="W36" i="1"/>
  <c r="W34" i="1"/>
  <c r="W33" i="1"/>
  <c r="W32" i="1"/>
  <c r="W50" i="1"/>
  <c r="W30" i="1"/>
  <c r="W61" i="1"/>
  <c r="W70" i="1"/>
  <c r="W26" i="1"/>
  <c r="W60" i="1"/>
  <c r="W25" i="1"/>
  <c r="W23" i="1"/>
  <c r="W59" i="1"/>
  <c r="W45" i="1"/>
  <c r="W67" i="1"/>
  <c r="W21" i="1"/>
  <c r="W56" i="1"/>
  <c r="R43" i="1"/>
  <c r="U101" i="1"/>
  <c r="U22" i="1"/>
  <c r="U30" i="1"/>
  <c r="U25" i="1"/>
  <c r="U33" i="1"/>
  <c r="U27" i="1"/>
  <c r="U34" i="1"/>
  <c r="U45" i="1"/>
  <c r="U50" i="1"/>
  <c r="U23" i="1"/>
  <c r="U36" i="1"/>
  <c r="U70" i="1"/>
  <c r="U9" i="1"/>
  <c r="U67" i="1"/>
  <c r="U68" i="1"/>
  <c r="U61" i="1"/>
  <c r="U21" i="1"/>
  <c r="U64" i="1"/>
  <c r="U63" i="1"/>
  <c r="U60" i="1"/>
  <c r="U56" i="1"/>
  <c r="S101" i="1"/>
  <c r="S30" i="1"/>
  <c r="S22" i="1"/>
  <c r="S48" i="1"/>
  <c r="S33" i="1"/>
  <c r="S27" i="1"/>
  <c r="S16" i="1"/>
  <c r="S34" i="1"/>
  <c r="S50" i="1"/>
  <c r="S32" i="1"/>
  <c r="S23" i="1"/>
  <c r="S36" i="1"/>
  <c r="S20" i="1"/>
  <c r="S68" i="1"/>
  <c r="S61" i="1"/>
  <c r="S21" i="1"/>
  <c r="S64" i="1"/>
  <c r="S63" i="1"/>
  <c r="S57" i="1"/>
  <c r="S60" i="1"/>
  <c r="S56" i="1"/>
  <c r="S41" i="1"/>
  <c r="R13" i="1"/>
  <c r="R14" i="1" s="1"/>
  <c r="R17" i="1" s="1"/>
  <c r="R64" i="1"/>
  <c r="R63" i="1"/>
  <c r="R50" i="1"/>
  <c r="R30" i="1"/>
  <c r="R61" i="1"/>
  <c r="R70" i="1"/>
  <c r="R27" i="1"/>
  <c r="R48" i="1"/>
  <c r="R60" i="1"/>
  <c r="R25" i="1"/>
  <c r="R68" i="1"/>
  <c r="R59" i="1"/>
  <c r="R67" i="1"/>
  <c r="R41" i="1"/>
  <c r="K91" i="1"/>
  <c r="U14" i="1" l="1"/>
  <c r="W73" i="1"/>
  <c r="W54" i="1"/>
  <c r="R65" i="1"/>
  <c r="S17" i="1"/>
  <c r="S73" i="1"/>
  <c r="R39" i="1"/>
  <c r="R54" i="1"/>
  <c r="S125" i="1"/>
  <c r="U125" i="1"/>
  <c r="U54" i="1"/>
  <c r="S54" i="1"/>
  <c r="K92" i="1"/>
  <c r="K97" i="1" s="1"/>
  <c r="K125" i="1"/>
  <c r="K129" i="1" s="1"/>
  <c r="K131" i="1" s="1"/>
  <c r="S65" i="1"/>
  <c r="U73" i="1"/>
  <c r="W65" i="1"/>
  <c r="S39" i="1"/>
  <c r="R73" i="1"/>
  <c r="U65" i="1"/>
  <c r="U39" i="1"/>
  <c r="W39" i="1"/>
  <c r="S103" i="1"/>
  <c r="U103" i="1"/>
  <c r="U129" i="1" l="1"/>
  <c r="S129" i="1"/>
  <c r="R74" i="1"/>
  <c r="U17" i="1"/>
  <c r="S74" i="1"/>
  <c r="W74" i="1"/>
  <c r="S131" i="1" l="1"/>
  <c r="R131" i="1"/>
  <c r="U74" i="1"/>
  <c r="W131" i="1"/>
  <c r="U131" i="1" l="1"/>
</calcChain>
</file>

<file path=xl/sharedStrings.xml><?xml version="1.0" encoding="utf-8"?>
<sst xmlns="http://schemas.openxmlformats.org/spreadsheetml/2006/main" count="200" uniqueCount="147">
  <si>
    <t>Accounting</t>
  </si>
  <si>
    <t>Art</t>
  </si>
  <si>
    <t>Biology</t>
  </si>
  <si>
    <t>Chemistry</t>
  </si>
  <si>
    <t>Computer Science</t>
  </si>
  <si>
    <t>Conflict Analysis/Dispute Resolution</t>
  </si>
  <si>
    <t>Economics</t>
  </si>
  <si>
    <t>Early Childhood Education</t>
  </si>
  <si>
    <t>Elementary Education</t>
  </si>
  <si>
    <t>English</t>
  </si>
  <si>
    <t>Exercise Science</t>
  </si>
  <si>
    <t>Finance</t>
  </si>
  <si>
    <t>French</t>
  </si>
  <si>
    <t>Geography</t>
  </si>
  <si>
    <t>History</t>
  </si>
  <si>
    <t>International Studies</t>
  </si>
  <si>
    <t>Management</t>
  </si>
  <si>
    <t>Marketing</t>
  </si>
  <si>
    <t>Mathematics</t>
  </si>
  <si>
    <t>Music</t>
  </si>
  <si>
    <t>Philosophy</t>
  </si>
  <si>
    <t>Physical Education</t>
  </si>
  <si>
    <t>Physics</t>
  </si>
  <si>
    <t>Political Science</t>
  </si>
  <si>
    <t>Psychology</t>
  </si>
  <si>
    <t>Respiratory Therapy</t>
  </si>
  <si>
    <t>Sociology</t>
  </si>
  <si>
    <t>Spanish</t>
  </si>
  <si>
    <t>Theatre</t>
  </si>
  <si>
    <t>Masters</t>
  </si>
  <si>
    <t>Education, Reading Specialist</t>
  </si>
  <si>
    <t>Art (B.F.A)</t>
  </si>
  <si>
    <t>English for Speakers of Other Languages</t>
  </si>
  <si>
    <t>ESOL</t>
  </si>
  <si>
    <t>Post-Baccalaureate Certificate</t>
  </si>
  <si>
    <t>Environmental Studies</t>
  </si>
  <si>
    <t>Low Productivity Programs</t>
  </si>
  <si>
    <t>Earth Science</t>
  </si>
  <si>
    <t>Latitude, Longitude</t>
  </si>
  <si>
    <t>38.345157,-75.605421</t>
  </si>
  <si>
    <t>14-15</t>
  </si>
  <si>
    <t>Information Systems</t>
  </si>
  <si>
    <t>Medical Laboratory Science</t>
  </si>
  <si>
    <t>UNDERGRADUATE</t>
  </si>
  <si>
    <t>College of Health and Human Services</t>
  </si>
  <si>
    <t>School of Health Sciences</t>
  </si>
  <si>
    <t>Health Sciences Subtotal</t>
  </si>
  <si>
    <t>School of Nursing</t>
  </si>
  <si>
    <t>College of Health and Human Services Total</t>
  </si>
  <si>
    <t>Fulton School of Liberal Arts</t>
  </si>
  <si>
    <t>Fulton Subtotal</t>
  </si>
  <si>
    <t>Henson School of Science &amp; Technology</t>
  </si>
  <si>
    <t>Henson Subtotal</t>
  </si>
  <si>
    <t>Perdue School of Business</t>
  </si>
  <si>
    <t>Perdue Subtotal</t>
  </si>
  <si>
    <t>Seidel School of Education</t>
  </si>
  <si>
    <t>Seidel Subtotal</t>
  </si>
  <si>
    <t xml:space="preserve">  TOTAL Baccalaureate Degrees Awarded</t>
  </si>
  <si>
    <t>GRADUATE</t>
  </si>
  <si>
    <t>School of Nursing Subtotal</t>
  </si>
  <si>
    <t>English M.A.</t>
  </si>
  <si>
    <t>History M.A.</t>
  </si>
  <si>
    <t>GIS Management M.S.</t>
  </si>
  <si>
    <t>Mathematics Education M.S.</t>
  </si>
  <si>
    <t>Perdue School of Business M.B.A.</t>
  </si>
  <si>
    <t>Education, M.A. in Teaching</t>
  </si>
  <si>
    <t>Post-Master's Certificates</t>
  </si>
  <si>
    <t>Doctoral</t>
  </si>
  <si>
    <t>Graduate Degrees Awarded by Type</t>
  </si>
  <si>
    <t xml:space="preserve">  TOTAL Graduate Level Degrees Awarded</t>
  </si>
  <si>
    <t>Salisbury University TOTAL Degrees Awarded</t>
  </si>
  <si>
    <t>Educational Leadership Masters</t>
  </si>
  <si>
    <t>Upper Division Certicates Awarded</t>
  </si>
  <si>
    <t>19-20</t>
  </si>
  <si>
    <t>20-21</t>
  </si>
  <si>
    <t>Communication</t>
  </si>
  <si>
    <t>Conflict Analysis &amp; Dispute Resolution M.A.</t>
  </si>
  <si>
    <t>21-22</t>
  </si>
  <si>
    <t>Least Degrees Awarded (five degrees or less)</t>
  </si>
  <si>
    <t>22-23</t>
  </si>
  <si>
    <t>23-24</t>
  </si>
  <si>
    <r>
      <t>Social Science</t>
    </r>
    <r>
      <rPr>
        <vertAlign val="superscript"/>
        <sz val="9"/>
        <color indexed="8"/>
        <rFont val="Arial"/>
        <family val="2"/>
      </rPr>
      <t>4</t>
    </r>
  </si>
  <si>
    <r>
      <t>Physical Science</t>
    </r>
    <r>
      <rPr>
        <vertAlign val="superscript"/>
        <sz val="9"/>
        <color indexed="8"/>
        <rFont val="Arial"/>
        <family val="2"/>
      </rPr>
      <t>4</t>
    </r>
  </si>
  <si>
    <t>Post-Doctoral Certificates</t>
  </si>
  <si>
    <t>AY</t>
  </si>
  <si>
    <t>School and Degree Program</t>
  </si>
  <si>
    <t>Program Notes:</t>
  </si>
  <si>
    <r>
      <t>Health Science</t>
    </r>
    <r>
      <rPr>
        <sz val="6"/>
        <color rgb="FF000000"/>
        <rFont val="Arial"/>
        <family val="2"/>
      </rPr>
      <t xml:space="preserve"> (new in 2022)</t>
    </r>
  </si>
  <si>
    <t>School of Nursing - BSN</t>
  </si>
  <si>
    <t>School of Social Work - BASW</t>
  </si>
  <si>
    <r>
      <t>Social Work MSW Online</t>
    </r>
    <r>
      <rPr>
        <sz val="6"/>
        <color rgb="FF000000"/>
        <rFont val="Arial"/>
        <family val="2"/>
      </rPr>
      <t xml:space="preserve"> (new in 2015)</t>
    </r>
  </si>
  <si>
    <t>Interdisciplinary Studies B.A.</t>
  </si>
  <si>
    <t>Interdisciplinary Studies B.S.</t>
  </si>
  <si>
    <r>
      <t xml:space="preserve">Data Science </t>
    </r>
    <r>
      <rPr>
        <sz val="6"/>
        <color rgb="FF000000"/>
        <rFont val="Arial"/>
        <family val="2"/>
      </rPr>
      <t>(new in 2020)</t>
    </r>
  </si>
  <si>
    <r>
      <t xml:space="preserve">Integrated Science </t>
    </r>
    <r>
      <rPr>
        <sz val="6"/>
        <color rgb="FF000000"/>
        <rFont val="Arial"/>
        <family val="2"/>
      </rPr>
      <t>(new in 2020)</t>
    </r>
  </si>
  <si>
    <t>Environmental Health²</t>
  </si>
  <si>
    <r>
      <t xml:space="preserve">International Business </t>
    </r>
    <r>
      <rPr>
        <sz val="6"/>
        <color rgb="FF000000"/>
        <rFont val="Arial"/>
        <family val="2"/>
      </rPr>
      <t>(new in 2013)</t>
    </r>
  </si>
  <si>
    <r>
      <t>Outdoor Educational Leadership</t>
    </r>
    <r>
      <rPr>
        <sz val="8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(new in 2019)</t>
    </r>
  </si>
  <si>
    <t>Health Care Management PBC</t>
  </si>
  <si>
    <t>Nursing MSN</t>
  </si>
  <si>
    <t>School of Social Work</t>
  </si>
  <si>
    <t>School of Social Work Subtotal</t>
  </si>
  <si>
    <t>English for Speakers of Other Languages PBC</t>
  </si>
  <si>
    <t>Applied Biology M.S.</t>
  </si>
  <si>
    <r>
      <t xml:space="preserve">Business Administration MBA Online </t>
    </r>
    <r>
      <rPr>
        <sz val="6"/>
        <color rgb="FF000000"/>
        <rFont val="Arial"/>
        <family val="2"/>
      </rPr>
      <t>(new in 2015)</t>
    </r>
  </si>
  <si>
    <t>Business Administration MBA Traditional</t>
  </si>
  <si>
    <t>Most Degrees Awarded (Top 5)</t>
  </si>
  <si>
    <r>
      <t xml:space="preserve">Elementary-Early Childhood Dual Certification </t>
    </r>
    <r>
      <rPr>
        <sz val="6"/>
        <color rgb="FF000000"/>
        <rFont val="Arial"/>
        <family val="2"/>
      </rPr>
      <t>(new in 2023)</t>
    </r>
  </si>
  <si>
    <r>
      <t xml:space="preserve">Urban and Regional Planning </t>
    </r>
    <r>
      <rPr>
        <sz val="6"/>
        <color rgb="FF000000"/>
        <rFont val="Arial"/>
        <family val="2"/>
      </rPr>
      <t>(new in 2017)</t>
    </r>
  </si>
  <si>
    <t>Urban and Regional Planning</t>
  </si>
  <si>
    <t>Social Work MSW</t>
  </si>
  <si>
    <t>24-25</t>
  </si>
  <si>
    <t>Business Economics</t>
  </si>
  <si>
    <r>
      <rPr>
        <sz val="9"/>
        <color rgb="FF000000"/>
        <rFont val="Arial"/>
        <family val="2"/>
      </rPr>
      <t>Engineering Physics</t>
    </r>
    <r>
      <rPr>
        <sz val="6"/>
        <color indexed="8"/>
        <rFont val="Arial"/>
        <family val="2"/>
      </rPr>
      <t xml:space="preserve"> </t>
    </r>
    <r>
      <rPr>
        <sz val="6"/>
        <color rgb="FF000000"/>
        <rFont val="Arial"/>
        <family val="2"/>
      </rPr>
      <t>(new in 2024)</t>
    </r>
  </si>
  <si>
    <r>
      <t xml:space="preserve">Pre-Medical UDC </t>
    </r>
    <r>
      <rPr>
        <sz val="6"/>
        <color rgb="FF000000"/>
        <rFont val="Arial"/>
        <family val="2"/>
      </rPr>
      <t>(new in 2024)</t>
    </r>
  </si>
  <si>
    <t>TOTAL Upper Division Certificates</t>
  </si>
  <si>
    <t xml:space="preserve">             Degrees Awarded by College, School, and Program: AY 2014-15, AY 2019-20 to AY 2024-25</t>
  </si>
  <si>
    <t xml:space="preserve">Social Work </t>
  </si>
  <si>
    <t>Nursing</t>
  </si>
  <si>
    <t>Highlighted Programs:  Undergraduate Degrees Awarded 2024-25</t>
  </si>
  <si>
    <t>Education, Curriculum &amp; Instruction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</si>
  <si>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indexed="8"/>
        <rFont val="Arial"/>
        <family val="2"/>
      </rPr>
      <t>Three-year average is not calculated for new programs.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</si>
  <si>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>Percent change is not provided for programs with 20 students or less.</t>
    </r>
  </si>
  <si>
    <t>Health and Human Performance MS</t>
  </si>
  <si>
    <r>
      <t>3</t>
    </r>
    <r>
      <rPr>
        <sz val="8"/>
        <color indexed="8"/>
        <rFont val="Arial"/>
        <family val="2"/>
      </rPr>
      <t>Suspended program, but not discontinued.</t>
    </r>
  </si>
  <si>
    <r>
      <rPr>
        <vertAlign val="superscript"/>
        <sz val="8"/>
        <color rgb="FF000000"/>
        <rFont val="Arial"/>
        <family val="2"/>
      </rPr>
      <t>4</t>
    </r>
    <r>
      <rPr>
        <sz val="8"/>
        <color indexed="8"/>
        <rFont val="Arial"/>
        <family val="2"/>
      </rPr>
      <t>Program transitioned from Health Education to Community Health in 2014; then transititioned to Public Health in 2021</t>
    </r>
  </si>
  <si>
    <r>
      <t>Health Education</t>
    </r>
    <r>
      <rPr>
        <vertAlign val="superscript"/>
        <sz val="9"/>
        <color rgb="FF000000"/>
        <rFont val="Arial"/>
        <family val="2"/>
      </rPr>
      <t>4</t>
    </r>
  </si>
  <si>
    <r>
      <t>Public Health</t>
    </r>
    <r>
      <rPr>
        <vertAlign val="superscript"/>
        <sz val="9"/>
        <color rgb="FF000000"/>
        <rFont val="Arial"/>
        <family val="2"/>
      </rPr>
      <t>4</t>
    </r>
  </si>
  <si>
    <r>
      <t>Athletic Training</t>
    </r>
    <r>
      <rPr>
        <vertAlign val="superscript"/>
        <sz val="9"/>
        <color rgb="FF000000"/>
        <rFont val="Arial"/>
        <family val="2"/>
      </rPr>
      <t>3</t>
    </r>
  </si>
  <si>
    <r>
      <t>Athletic Training MSAT</t>
    </r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</t>
    </r>
    <r>
      <rPr>
        <sz val="6"/>
        <color rgb="FF000000"/>
        <rFont val="Arial"/>
        <family val="2"/>
      </rPr>
      <t>(new in 2016, currently suspended)</t>
    </r>
  </si>
  <si>
    <r>
      <t xml:space="preserve">Fraud and Forensic Accounting </t>
    </r>
    <r>
      <rPr>
        <sz val="7"/>
        <color rgb="FF000000"/>
        <rFont val="Arial"/>
        <family val="2"/>
      </rPr>
      <t>(new in 2017)</t>
    </r>
  </si>
  <si>
    <r>
      <t>Educational Leadership P.M.C.</t>
    </r>
    <r>
      <rPr>
        <sz val="6"/>
        <color rgb="FF000000"/>
        <rFont val="Arial"/>
        <family val="2"/>
      </rPr>
      <t xml:space="preserve"> (new in 2017)</t>
    </r>
  </si>
  <si>
    <r>
      <t xml:space="preserve">Higher Education P.B.C. </t>
    </r>
    <r>
      <rPr>
        <sz val="6"/>
        <color rgb="FF000000"/>
        <rFont val="Arial"/>
        <family val="2"/>
      </rPr>
      <t>(new in 2022)</t>
    </r>
  </si>
  <si>
    <r>
      <t xml:space="preserve">Literacy Educator P.M.C. </t>
    </r>
    <r>
      <rPr>
        <sz val="6"/>
        <color rgb="FF000000"/>
        <rFont val="Arial"/>
        <family val="2"/>
      </rPr>
      <t>(new in 2022)</t>
    </r>
  </si>
  <si>
    <r>
      <t>Family Nurse Practitioner CAS</t>
    </r>
    <r>
      <rPr>
        <sz val="6"/>
        <color rgb="FF000000"/>
        <rFont val="Arial"/>
        <family val="2"/>
      </rPr>
      <t xml:space="preserve"> (new in 2022)</t>
    </r>
  </si>
  <si>
    <t>Doctor of Nursing Practice DNP</t>
  </si>
  <si>
    <r>
      <t xml:space="preserve">Doctor of Education in Literacy Studies </t>
    </r>
    <r>
      <rPr>
        <sz val="6"/>
        <rFont val="Arial"/>
        <family val="2"/>
      </rPr>
      <t>(new in 2014)</t>
    </r>
  </si>
  <si>
    <r>
      <t>Business Administration</t>
    </r>
    <r>
      <rPr>
        <vertAlign val="superscript"/>
        <sz val="9"/>
        <color rgb="FF000000"/>
        <rFont val="Arial"/>
        <family val="2"/>
      </rPr>
      <t>3</t>
    </r>
  </si>
  <si>
    <t>students in the most recent year or 15 students in the last 3 years.</t>
  </si>
  <si>
    <r>
      <rPr>
        <b/>
        <sz val="8"/>
        <color rgb="FF000000"/>
        <rFont val="Arial"/>
        <family val="2"/>
      </rPr>
      <t>Rules for Low Productivity:</t>
    </r>
    <r>
      <rPr>
        <sz val="8"/>
        <color indexed="8"/>
        <rFont val="Arial"/>
        <family val="2"/>
      </rPr>
      <t xml:space="preserve">  (1) New programs exempt for 5 years; (2) must graduate 5 </t>
    </r>
  </si>
  <si>
    <t>change²</t>
  </si>
  <si>
    <t>1-year</t>
  </si>
  <si>
    <t>5-year</t>
  </si>
  <si>
    <t>10-year</t>
  </si>
  <si>
    <t>3 Year</t>
  </si>
  <si>
    <t>Average</t>
  </si>
  <si>
    <t xml:space="preserve">School and Degree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</si>
</sst>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41" x14ac:knownFonts="1">
    <font>
      <sz val="8"/>
      <name val="Arial"/>
    </font>
    <font>
      <b/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i/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sz val="10"/>
      <color indexed="8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vertAlign val="superscript"/>
      <sz val="9"/>
      <color indexed="8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sz val="6"/>
      <color indexed="8"/>
      <name val="Arial"/>
      <family val="2"/>
    </font>
    <font>
      <b/>
      <vertAlign val="superscript"/>
      <sz val="6"/>
      <color indexed="8"/>
      <name val="Arial"/>
      <family val="2"/>
    </font>
    <font>
      <vertAlign val="superscript"/>
      <sz val="8"/>
      <color indexed="8"/>
      <name val="Arial"/>
      <family val="2"/>
    </font>
    <font>
      <sz val="6"/>
      <color rgb="FF000000"/>
      <name val="Arial"/>
      <family val="2"/>
    </font>
    <font>
      <i/>
      <sz val="9"/>
      <color rgb="FFC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8"/>
      <color rgb="FF00000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lightGray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8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2" tint="-0.249977111117893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8"/>
      </patternFill>
    </fill>
    <fill>
      <patternFill patternType="solid">
        <fgColor rgb="FFFFFF66"/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2" tint="-9.9978637043366805E-2"/>
        <bgColor indexed="8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2" tint="-9.9978637043366805E-2"/>
        <bgColor indexed="22"/>
      </patternFill>
    </fill>
    <fill>
      <patternFill patternType="lightGray">
        <fgColor indexed="9"/>
        <bgColor theme="0"/>
      </patternFill>
    </fill>
    <fill>
      <patternFill patternType="gray125">
        <fgColor auto="1"/>
        <bgColor theme="0"/>
      </patternFill>
    </fill>
    <fill>
      <patternFill patternType="solid">
        <fgColor theme="0"/>
        <bgColor auto="1"/>
      </patternFill>
    </fill>
    <fill>
      <patternFill patternType="gray125">
        <bgColor theme="0"/>
      </patternFill>
    </fill>
    <fill>
      <patternFill patternType="gray125">
        <fgColor indexed="8"/>
        <bgColor theme="0"/>
      </patternFill>
    </fill>
    <fill>
      <patternFill patternType="gray125">
        <fgColor auto="1"/>
        <bgColor theme="0" tint="-4.9989318521683403E-2"/>
      </patternFill>
    </fill>
    <fill>
      <patternFill patternType="solid">
        <fgColor rgb="FFFFFF00"/>
        <bgColor indexed="8"/>
      </patternFill>
    </fill>
    <fill>
      <patternFill patternType="gray125">
        <fgColor auto="1"/>
        <bgColor theme="0" tint="-0.14999847407452621"/>
      </patternFill>
    </fill>
    <fill>
      <patternFill patternType="solid">
        <fgColor theme="0" tint="-0.249977111117893"/>
        <bgColor indexed="8"/>
      </patternFill>
    </fill>
  </fills>
  <borders count="1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hair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2" fillId="0" borderId="0"/>
  </cellStyleXfs>
  <cellXfs count="732"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1" fillId="2" borderId="0" xfId="0" applyFont="1" applyFill="1" applyBorder="1"/>
    <xf numFmtId="41" fontId="3" fillId="12" borderId="11" xfId="0" applyNumberFormat="1" applyFont="1" applyFill="1" applyBorder="1" applyAlignment="1"/>
    <xf numFmtId="41" fontId="3" fillId="0" borderId="11" xfId="0" applyNumberFormat="1" applyFont="1" applyFill="1" applyBorder="1" applyAlignment="1"/>
    <xf numFmtId="41" fontId="3" fillId="0" borderId="25" xfId="0" applyNumberFormat="1" applyFont="1" applyFill="1" applyBorder="1" applyAlignment="1"/>
    <xf numFmtId="41" fontId="3" fillId="12" borderId="25" xfId="0" applyNumberFormat="1" applyFont="1" applyFill="1" applyBorder="1" applyAlignment="1"/>
    <xf numFmtId="0" fontId="2" fillId="19" borderId="33" xfId="0" applyFont="1" applyFill="1" applyBorder="1" applyAlignment="1"/>
    <xf numFmtId="0" fontId="2" fillId="20" borderId="33" xfId="0" applyFont="1" applyFill="1" applyBorder="1" applyAlignment="1"/>
    <xf numFmtId="0" fontId="9" fillId="19" borderId="33" xfId="0" applyFont="1" applyFill="1" applyBorder="1" applyAlignment="1"/>
    <xf numFmtId="0" fontId="9" fillId="20" borderId="33" xfId="0" applyFont="1" applyFill="1" applyBorder="1" applyAlignment="1"/>
    <xf numFmtId="0" fontId="9" fillId="18" borderId="33" xfId="0" applyFont="1" applyFill="1" applyBorder="1" applyAlignment="1"/>
    <xf numFmtId="0" fontId="10" fillId="18" borderId="34" xfId="0" applyFont="1" applyFill="1" applyBorder="1" applyAlignment="1"/>
    <xf numFmtId="0" fontId="10" fillId="2" borderId="0" xfId="0" applyFont="1" applyFill="1"/>
    <xf numFmtId="0" fontId="7" fillId="2" borderId="0" xfId="0" applyFont="1" applyFill="1"/>
    <xf numFmtId="41" fontId="3" fillId="23" borderId="33" xfId="0" applyNumberFormat="1" applyFont="1" applyFill="1" applyBorder="1" applyAlignment="1"/>
    <xf numFmtId="41" fontId="13" fillId="23" borderId="33" xfId="0" applyNumberFormat="1" applyFont="1" applyFill="1" applyBorder="1" applyAlignment="1"/>
    <xf numFmtId="41" fontId="4" fillId="23" borderId="33" xfId="0" applyNumberFormat="1" applyFont="1" applyFill="1" applyBorder="1" applyAlignment="1"/>
    <xf numFmtId="9" fontId="4" fillId="22" borderId="33" xfId="1" applyFont="1" applyFill="1" applyBorder="1" applyAlignment="1"/>
    <xf numFmtId="41" fontId="4" fillId="22" borderId="33" xfId="0" applyNumberFormat="1" applyFont="1" applyFill="1" applyBorder="1" applyAlignment="1"/>
    <xf numFmtId="9" fontId="10" fillId="22" borderId="34" xfId="1" applyFont="1" applyFill="1" applyBorder="1" applyAlignment="1"/>
    <xf numFmtId="41" fontId="4" fillId="23" borderId="0" xfId="0" applyNumberFormat="1" applyFont="1" applyFill="1" applyBorder="1" applyAlignment="1"/>
    <xf numFmtId="41" fontId="3" fillId="26" borderId="33" xfId="0" applyNumberFormat="1" applyFont="1" applyFill="1" applyBorder="1" applyAlignment="1"/>
    <xf numFmtId="41" fontId="13" fillId="26" borderId="33" xfId="0" applyNumberFormat="1" applyFont="1" applyFill="1" applyBorder="1" applyAlignment="1"/>
    <xf numFmtId="41" fontId="4" fillId="26" borderId="33" xfId="0" applyNumberFormat="1" applyFont="1" applyFill="1" applyBorder="1" applyAlignment="1"/>
    <xf numFmtId="9" fontId="4" fillId="25" borderId="33" xfId="1" applyFont="1" applyFill="1" applyBorder="1" applyAlignment="1"/>
    <xf numFmtId="164" fontId="4" fillId="25" borderId="33" xfId="1" applyNumberFormat="1" applyFont="1" applyFill="1" applyBorder="1" applyAlignment="1"/>
    <xf numFmtId="0" fontId="14" fillId="2" borderId="0" xfId="0" applyFont="1" applyFill="1"/>
    <xf numFmtId="41" fontId="4" fillId="32" borderId="20" xfId="0" applyNumberFormat="1" applyFont="1" applyFill="1" applyBorder="1" applyAlignment="1"/>
    <xf numFmtId="41" fontId="4" fillId="0" borderId="35" xfId="0" applyNumberFormat="1" applyFont="1" applyFill="1" applyBorder="1" applyAlignment="1"/>
    <xf numFmtId="41" fontId="7" fillId="0" borderId="35" xfId="0" applyNumberFormat="1" applyFont="1" applyFill="1" applyBorder="1" applyAlignment="1"/>
    <xf numFmtId="9" fontId="4" fillId="0" borderId="35" xfId="1" applyFont="1" applyFill="1" applyBorder="1" applyAlignment="1"/>
    <xf numFmtId="9" fontId="7" fillId="0" borderId="35" xfId="1" applyFont="1" applyFill="1" applyBorder="1" applyAlignment="1"/>
    <xf numFmtId="0" fontId="15" fillId="2" borderId="0" xfId="3" applyFont="1" applyFill="1" applyBorder="1" applyAlignment="1">
      <alignment horizontal="centerContinuous"/>
    </xf>
    <xf numFmtId="41" fontId="3" fillId="3" borderId="35" xfId="0" applyNumberFormat="1" applyFont="1" applyFill="1" applyBorder="1" applyAlignment="1"/>
    <xf numFmtId="41" fontId="13" fillId="3" borderId="35" xfId="0" applyNumberFormat="1" applyFont="1" applyFill="1" applyBorder="1" applyAlignment="1"/>
    <xf numFmtId="41" fontId="4" fillId="3" borderId="35" xfId="0" applyNumberFormat="1" applyFont="1" applyFill="1" applyBorder="1" applyAlignment="1"/>
    <xf numFmtId="9" fontId="4" fillId="2" borderId="35" xfId="1" applyFont="1" applyFill="1" applyBorder="1" applyAlignment="1"/>
    <xf numFmtId="9" fontId="4" fillId="3" borderId="37" xfId="1" applyFont="1" applyFill="1" applyBorder="1" applyAlignment="1"/>
    <xf numFmtId="41" fontId="3" fillId="34" borderId="27" xfId="0" applyNumberFormat="1" applyFont="1" applyFill="1" applyBorder="1" applyAlignment="1"/>
    <xf numFmtId="41" fontId="13" fillId="34" borderId="27" xfId="0" applyNumberFormat="1" applyFont="1" applyFill="1" applyBorder="1" applyAlignment="1"/>
    <xf numFmtId="41" fontId="3" fillId="17" borderId="27" xfId="0" applyNumberFormat="1" applyFont="1" applyFill="1" applyBorder="1" applyAlignment="1"/>
    <xf numFmtId="41" fontId="4" fillId="34" borderId="27" xfId="0" applyNumberFormat="1" applyFont="1" applyFill="1" applyBorder="1" applyAlignment="1"/>
    <xf numFmtId="9" fontId="4" fillId="15" borderId="27" xfId="1" applyFont="1" applyFill="1" applyBorder="1" applyAlignment="1"/>
    <xf numFmtId="164" fontId="4" fillId="15" borderId="27" xfId="1" applyNumberFormat="1" applyFont="1" applyFill="1" applyBorder="1" applyAlignment="1"/>
    <xf numFmtId="9" fontId="4" fillId="15" borderId="28" xfId="1" applyFont="1" applyFill="1" applyBorder="1" applyAlignment="1"/>
    <xf numFmtId="41" fontId="3" fillId="3" borderId="7" xfId="0" applyNumberFormat="1" applyFont="1" applyFill="1" applyBorder="1" applyAlignment="1"/>
    <xf numFmtId="41" fontId="13" fillId="3" borderId="7" xfId="0" applyNumberFormat="1" applyFont="1" applyFill="1" applyBorder="1" applyAlignment="1"/>
    <xf numFmtId="41" fontId="3" fillId="0" borderId="7" xfId="0" applyNumberFormat="1" applyFont="1" applyFill="1" applyBorder="1" applyAlignment="1"/>
    <xf numFmtId="41" fontId="4" fillId="3" borderId="7" xfId="0" applyNumberFormat="1" applyFont="1" applyFill="1" applyBorder="1" applyAlignment="1"/>
    <xf numFmtId="9" fontId="4" fillId="2" borderId="7" xfId="1" applyFont="1" applyFill="1" applyBorder="1" applyAlignment="1"/>
    <xf numFmtId="164" fontId="4" fillId="2" borderId="7" xfId="1" applyNumberFormat="1" applyFont="1" applyFill="1" applyBorder="1" applyAlignment="1"/>
    <xf numFmtId="9" fontId="4" fillId="2" borderId="9" xfId="1" applyFont="1" applyFill="1" applyBorder="1" applyAlignment="1"/>
    <xf numFmtId="0" fontId="14" fillId="2" borderId="0" xfId="0" applyFont="1" applyFill="1" applyBorder="1"/>
    <xf numFmtId="41" fontId="4" fillId="21" borderId="20" xfId="0" applyNumberFormat="1" applyFont="1" applyFill="1" applyBorder="1" applyAlignment="1"/>
    <xf numFmtId="41" fontId="4" fillId="36" borderId="11" xfId="0" applyNumberFormat="1" applyFont="1" applyFill="1" applyBorder="1" applyAlignment="1">
      <alignment horizontal="center"/>
    </xf>
    <xf numFmtId="0" fontId="2" fillId="19" borderId="7" xfId="0" applyFont="1" applyFill="1" applyBorder="1" applyAlignment="1"/>
    <xf numFmtId="0" fontId="2" fillId="20" borderId="7" xfId="0" applyFont="1" applyFill="1" applyBorder="1" applyAlignment="1"/>
    <xf numFmtId="0" fontId="9" fillId="19" borderId="7" xfId="0" applyFont="1" applyFill="1" applyBorder="1" applyAlignment="1"/>
    <xf numFmtId="0" fontId="9" fillId="20" borderId="7" xfId="0" applyFont="1" applyFill="1" applyBorder="1" applyAlignment="1"/>
    <xf numFmtId="164" fontId="9" fillId="18" borderId="7" xfId="1" applyNumberFormat="1" applyFont="1" applyFill="1" applyBorder="1" applyAlignment="1"/>
    <xf numFmtId="41" fontId="3" fillId="2" borderId="11" xfId="0" applyNumberFormat="1" applyFont="1" applyFill="1" applyBorder="1" applyAlignment="1"/>
    <xf numFmtId="41" fontId="3" fillId="13" borderId="11" xfId="0" applyNumberFormat="1" applyFont="1" applyFill="1" applyBorder="1" applyAlignment="1"/>
    <xf numFmtId="41" fontId="4" fillId="9" borderId="11" xfId="0" applyNumberFormat="1" applyFont="1" applyFill="1" applyBorder="1" applyAlignment="1"/>
    <xf numFmtId="41" fontId="3" fillId="2" borderId="25" xfId="0" applyNumberFormat="1" applyFont="1" applyFill="1" applyBorder="1" applyAlignment="1"/>
    <xf numFmtId="41" fontId="3" fillId="13" borderId="25" xfId="0" applyNumberFormat="1" applyFont="1" applyFill="1" applyBorder="1" applyAlignment="1"/>
    <xf numFmtId="41" fontId="3" fillId="13" borderId="23" xfId="0" applyNumberFormat="1" applyFont="1" applyFill="1" applyBorder="1" applyAlignment="1"/>
    <xf numFmtId="41" fontId="4" fillId="9" borderId="1" xfId="0" applyNumberFormat="1" applyFont="1" applyFill="1" applyBorder="1" applyAlignment="1"/>
    <xf numFmtId="164" fontId="4" fillId="7" borderId="15" xfId="0" applyNumberFormat="1" applyFont="1" applyFill="1" applyBorder="1" applyAlignment="1"/>
    <xf numFmtId="41" fontId="4" fillId="3" borderId="5" xfId="0" applyNumberFormat="1" applyFont="1" applyFill="1" applyBorder="1" applyAlignment="1"/>
    <xf numFmtId="164" fontId="4" fillId="4" borderId="6" xfId="1" applyNumberFormat="1" applyFont="1" applyFill="1" applyBorder="1" applyAlignment="1"/>
    <xf numFmtId="41" fontId="3" fillId="13" borderId="24" xfId="0" applyNumberFormat="1" applyFont="1" applyFill="1" applyBorder="1" applyAlignment="1"/>
    <xf numFmtId="0" fontId="11" fillId="2" borderId="0" xfId="0" applyFont="1" applyFill="1" applyAlignment="1"/>
    <xf numFmtId="0" fontId="12" fillId="2" borderId="0" xfId="0" applyFont="1" applyFill="1" applyAlignment="1"/>
    <xf numFmtId="0" fontId="10" fillId="2" borderId="0" xfId="0" applyFont="1" applyFill="1" applyAlignment="1"/>
    <xf numFmtId="41" fontId="3" fillId="13" borderId="4" xfId="0" applyNumberFormat="1" applyFont="1" applyFill="1" applyBorder="1" applyAlignment="1"/>
    <xf numFmtId="41" fontId="3" fillId="0" borderId="4" xfId="0" applyNumberFormat="1" applyFont="1" applyFill="1" applyBorder="1" applyAlignment="1"/>
    <xf numFmtId="41" fontId="3" fillId="0" borderId="23" xfId="0" applyNumberFormat="1" applyFont="1" applyFill="1" applyBorder="1" applyAlignment="1"/>
    <xf numFmtId="0" fontId="14" fillId="2" borderId="0" xfId="0" applyFont="1" applyFill="1" applyAlignment="1"/>
    <xf numFmtId="41" fontId="4" fillId="10" borderId="1" xfId="0" applyNumberFormat="1" applyFont="1" applyFill="1" applyBorder="1" applyAlignment="1"/>
    <xf numFmtId="0" fontId="12" fillId="2" borderId="0" xfId="0" applyFont="1" applyFill="1" applyBorder="1" applyAlignment="1"/>
    <xf numFmtId="0" fontId="14" fillId="2" borderId="0" xfId="0" applyFont="1" applyFill="1" applyBorder="1" applyAlignment="1"/>
    <xf numFmtId="0" fontId="6" fillId="0" borderId="0" xfId="0" applyFont="1" applyFill="1" applyAlignment="1"/>
    <xf numFmtId="41" fontId="3" fillId="2" borderId="4" xfId="0" applyNumberFormat="1" applyFont="1" applyFill="1" applyBorder="1" applyAlignment="1"/>
    <xf numFmtId="41" fontId="3" fillId="2" borderId="24" xfId="0" applyNumberFormat="1" applyFont="1" applyFill="1" applyBorder="1" applyAlignment="1"/>
    <xf numFmtId="41" fontId="3" fillId="0" borderId="24" xfId="0" applyNumberFormat="1" applyFont="1" applyFill="1" applyBorder="1" applyAlignment="1"/>
    <xf numFmtId="9" fontId="4" fillId="20" borderId="20" xfId="1" applyFont="1" applyFill="1" applyBorder="1" applyAlignment="1"/>
    <xf numFmtId="9" fontId="7" fillId="18" borderId="20" xfId="1" applyFont="1" applyFill="1" applyBorder="1" applyAlignment="1"/>
    <xf numFmtId="41" fontId="4" fillId="22" borderId="35" xfId="0" applyNumberFormat="1" applyFont="1" applyFill="1" applyBorder="1" applyAlignment="1"/>
    <xf numFmtId="9" fontId="10" fillId="22" borderId="37" xfId="1" applyFont="1" applyFill="1" applyBorder="1" applyAlignment="1"/>
    <xf numFmtId="41" fontId="3" fillId="2" borderId="23" xfId="0" applyNumberFormat="1" applyFont="1" applyFill="1" applyBorder="1" applyAlignment="1"/>
    <xf numFmtId="41" fontId="4" fillId="23" borderId="40" xfId="0" applyNumberFormat="1" applyFont="1" applyFill="1" applyBorder="1" applyAlignment="1"/>
    <xf numFmtId="9" fontId="4" fillId="24" borderId="40" xfId="1" applyFont="1" applyFill="1" applyBorder="1" applyAlignment="1"/>
    <xf numFmtId="9" fontId="7" fillId="22" borderId="39" xfId="1" applyFont="1" applyFill="1" applyBorder="1" applyAlignment="1"/>
    <xf numFmtId="165" fontId="4" fillId="31" borderId="20" xfId="2" applyNumberFormat="1" applyFont="1" applyFill="1" applyBorder="1" applyAlignment="1">
      <alignment horizontal="right"/>
    </xf>
    <xf numFmtId="9" fontId="4" fillId="32" borderId="20" xfId="1" applyFont="1" applyFill="1" applyBorder="1" applyAlignment="1"/>
    <xf numFmtId="9" fontId="7" fillId="33" borderId="20" xfId="1" applyFont="1" applyFill="1" applyBorder="1" applyAlignment="1"/>
    <xf numFmtId="41" fontId="4" fillId="35" borderId="38" xfId="0" applyNumberFormat="1" applyFont="1" applyFill="1" applyBorder="1" applyAlignment="1"/>
    <xf numFmtId="41" fontId="4" fillId="16" borderId="38" xfId="0" applyNumberFormat="1" applyFont="1" applyFill="1" applyBorder="1" applyAlignment="1"/>
    <xf numFmtId="41" fontId="4" fillId="35" borderId="23" xfId="0" applyNumberFormat="1" applyFont="1" applyFill="1" applyBorder="1" applyAlignment="1"/>
    <xf numFmtId="41" fontId="4" fillId="16" borderId="23" xfId="0" applyNumberFormat="1" applyFont="1" applyFill="1" applyBorder="1" applyAlignment="1"/>
    <xf numFmtId="41" fontId="3" fillId="3" borderId="11" xfId="0" applyNumberFormat="1" applyFont="1" applyFill="1" applyBorder="1" applyAlignment="1"/>
    <xf numFmtId="0" fontId="3" fillId="2" borderId="11" xfId="0" applyFont="1" applyFill="1" applyBorder="1" applyAlignment="1"/>
    <xf numFmtId="41" fontId="4" fillId="36" borderId="11" xfId="0" applyNumberFormat="1" applyFont="1" applyFill="1" applyBorder="1" applyAlignment="1"/>
    <xf numFmtId="41" fontId="4" fillId="37" borderId="11" xfId="0" applyNumberFormat="1" applyFont="1" applyFill="1" applyBorder="1" applyAlignment="1"/>
    <xf numFmtId="41" fontId="4" fillId="36" borderId="38" xfId="0" applyNumberFormat="1" applyFont="1" applyFill="1" applyBorder="1" applyAlignment="1"/>
    <xf numFmtId="41" fontId="4" fillId="17" borderId="20" xfId="0" applyNumberFormat="1" applyFont="1" applyFill="1" applyBorder="1" applyAlignment="1"/>
    <xf numFmtId="41" fontId="4" fillId="34" borderId="11" xfId="0" applyNumberFormat="1" applyFont="1" applyFill="1" applyBorder="1" applyAlignment="1"/>
    <xf numFmtId="41" fontId="3" fillId="23" borderId="0" xfId="0" applyNumberFormat="1" applyFont="1" applyFill="1" applyBorder="1" applyAlignment="1"/>
    <xf numFmtId="41" fontId="13" fillId="23" borderId="0" xfId="0" applyNumberFormat="1" applyFont="1" applyFill="1" applyBorder="1" applyAlignment="1"/>
    <xf numFmtId="9" fontId="4" fillId="22" borderId="0" xfId="1" applyFont="1" applyFill="1" applyBorder="1" applyAlignment="1"/>
    <xf numFmtId="41" fontId="3" fillId="3" borderId="4" xfId="0" applyNumberFormat="1" applyFont="1" applyFill="1" applyBorder="1" applyAlignment="1"/>
    <xf numFmtId="41" fontId="3" fillId="6" borderId="4" xfId="0" applyNumberFormat="1" applyFont="1" applyFill="1" applyBorder="1" applyAlignment="1"/>
    <xf numFmtId="41" fontId="3" fillId="11" borderId="4" xfId="0" applyNumberFormat="1" applyFont="1" applyFill="1" applyBorder="1" applyAlignment="1"/>
    <xf numFmtId="41" fontId="3" fillId="3" borderId="11" xfId="0" applyNumberFormat="1" applyFont="1" applyFill="1" applyBorder="1" applyAlignment="1">
      <alignment horizontal="right"/>
    </xf>
    <xf numFmtId="41" fontId="3" fillId="30" borderId="35" xfId="0" applyNumberFormat="1" applyFont="1" applyFill="1" applyBorder="1" applyAlignment="1"/>
    <xf numFmtId="41" fontId="13" fillId="30" borderId="35" xfId="0" applyNumberFormat="1" applyFont="1" applyFill="1" applyBorder="1" applyAlignment="1"/>
    <xf numFmtId="41" fontId="3" fillId="31" borderId="35" xfId="0" applyNumberFormat="1" applyFont="1" applyFill="1" applyBorder="1" applyAlignment="1"/>
    <xf numFmtId="41" fontId="4" fillId="30" borderId="35" xfId="0" applyNumberFormat="1" applyFont="1" applyFill="1" applyBorder="1" applyAlignment="1"/>
    <xf numFmtId="9" fontId="4" fillId="29" borderId="35" xfId="1" applyFont="1" applyFill="1" applyBorder="1" applyAlignment="1"/>
    <xf numFmtId="41" fontId="4" fillId="11" borderId="4" xfId="0" applyNumberFormat="1" applyFont="1" applyFill="1" applyBorder="1" applyAlignment="1"/>
    <xf numFmtId="0" fontId="13" fillId="2" borderId="33" xfId="0" applyFont="1" applyFill="1" applyBorder="1" applyAlignment="1"/>
    <xf numFmtId="0" fontId="7" fillId="0" borderId="33" xfId="0" applyFont="1" applyFill="1" applyBorder="1" applyAlignment="1"/>
    <xf numFmtId="0" fontId="7" fillId="2" borderId="33" xfId="0" applyFont="1" applyFill="1" applyBorder="1" applyAlignment="1"/>
    <xf numFmtId="164" fontId="7" fillId="2" borderId="33" xfId="1" applyNumberFormat="1" applyFont="1" applyFill="1" applyBorder="1" applyAlignment="1"/>
    <xf numFmtId="41" fontId="4" fillId="36" borderId="4" xfId="0" applyNumberFormat="1" applyFont="1" applyFill="1" applyBorder="1" applyAlignment="1">
      <alignment horizontal="right"/>
    </xf>
    <xf numFmtId="41" fontId="4" fillId="36" borderId="11" xfId="0" applyNumberFormat="1" applyFont="1" applyFill="1" applyBorder="1" applyAlignment="1">
      <alignment horizontal="right"/>
    </xf>
    <xf numFmtId="9" fontId="4" fillId="36" borderId="4" xfId="1" applyFont="1" applyFill="1" applyBorder="1" applyAlignment="1">
      <alignment horizontal="right"/>
    </xf>
    <xf numFmtId="9" fontId="4" fillId="36" borderId="11" xfId="1" applyFont="1" applyFill="1" applyBorder="1" applyAlignment="1">
      <alignment horizontal="right"/>
    </xf>
    <xf numFmtId="41" fontId="16" fillId="32" borderId="42" xfId="0" applyNumberFormat="1" applyFont="1" applyFill="1" applyBorder="1" applyAlignment="1"/>
    <xf numFmtId="0" fontId="17" fillId="2" borderId="0" xfId="0" applyFont="1" applyFill="1"/>
    <xf numFmtId="0" fontId="3" fillId="3" borderId="11" xfId="0" applyFont="1" applyFill="1" applyBorder="1" applyAlignment="1"/>
    <xf numFmtId="41" fontId="4" fillId="14" borderId="20" xfId="0" applyNumberFormat="1" applyFont="1" applyFill="1" applyBorder="1" applyAlignment="1"/>
    <xf numFmtId="165" fontId="3" fillId="2" borderId="0" xfId="2" applyNumberFormat="1" applyFont="1" applyFill="1" applyBorder="1" applyAlignment="1"/>
    <xf numFmtId="165" fontId="3" fillId="0" borderId="1" xfId="2" applyNumberFormat="1" applyFont="1" applyFill="1" applyBorder="1" applyAlignment="1"/>
    <xf numFmtId="165" fontId="4" fillId="11" borderId="0" xfId="2" applyNumberFormat="1" applyFont="1" applyFill="1" applyBorder="1" applyAlignment="1"/>
    <xf numFmtId="165" fontId="3" fillId="11" borderId="1" xfId="2" applyNumberFormat="1" applyFont="1" applyFill="1" applyBorder="1" applyAlignment="1"/>
    <xf numFmtId="165" fontId="3" fillId="2" borderId="45" xfId="2" applyNumberFormat="1" applyFont="1" applyFill="1" applyBorder="1" applyAlignment="1"/>
    <xf numFmtId="165" fontId="3" fillId="0" borderId="45" xfId="2" applyNumberFormat="1" applyFont="1" applyFill="1" applyBorder="1" applyAlignment="1"/>
    <xf numFmtId="165" fontId="3" fillId="13" borderId="45" xfId="2" applyNumberFormat="1" applyFont="1" applyFill="1" applyBorder="1" applyAlignment="1"/>
    <xf numFmtId="165" fontId="4" fillId="11" borderId="46" xfId="2" applyNumberFormat="1" applyFont="1" applyFill="1" applyBorder="1" applyAlignment="1"/>
    <xf numFmtId="165" fontId="3" fillId="11" borderId="46" xfId="2" applyNumberFormat="1" applyFont="1" applyFill="1" applyBorder="1" applyAlignment="1"/>
    <xf numFmtId="165" fontId="3" fillId="2" borderId="46" xfId="2" applyNumberFormat="1" applyFont="1" applyFill="1" applyBorder="1" applyAlignment="1"/>
    <xf numFmtId="165" fontId="3" fillId="0" borderId="46" xfId="2" applyNumberFormat="1" applyFont="1" applyFill="1" applyBorder="1" applyAlignment="1"/>
    <xf numFmtId="165" fontId="3" fillId="13" borderId="46" xfId="2" applyNumberFormat="1" applyFont="1" applyFill="1" applyBorder="1" applyAlignment="1"/>
    <xf numFmtId="41" fontId="4" fillId="0" borderId="35" xfId="1" applyNumberFormat="1" applyFont="1" applyFill="1" applyBorder="1" applyAlignment="1"/>
    <xf numFmtId="41" fontId="4" fillId="36" borderId="5" xfId="0" applyNumberFormat="1" applyFont="1" applyFill="1" applyBorder="1" applyAlignment="1">
      <alignment horizontal="center"/>
    </xf>
    <xf numFmtId="41" fontId="4" fillId="17" borderId="17" xfId="0" applyNumberFormat="1" applyFont="1" applyFill="1" applyBorder="1" applyAlignment="1"/>
    <xf numFmtId="41" fontId="4" fillId="23" borderId="19" xfId="0" applyNumberFormat="1" applyFont="1" applyFill="1" applyBorder="1" applyAlignment="1"/>
    <xf numFmtId="165" fontId="4" fillId="31" borderId="17" xfId="2" applyNumberFormat="1" applyFont="1" applyFill="1" applyBorder="1" applyAlignment="1">
      <alignment horizontal="right"/>
    </xf>
    <xf numFmtId="41" fontId="4" fillId="32" borderId="17" xfId="0" applyNumberFormat="1" applyFont="1" applyFill="1" applyBorder="1" applyAlignment="1"/>
    <xf numFmtId="41" fontId="4" fillId="34" borderId="5" xfId="0" applyNumberFormat="1" applyFont="1" applyFill="1" applyBorder="1" applyAlignment="1"/>
    <xf numFmtId="41" fontId="4" fillId="21" borderId="17" xfId="0" applyNumberFormat="1" applyFont="1" applyFill="1" applyBorder="1" applyAlignment="1"/>
    <xf numFmtId="41" fontId="3" fillId="11" borderId="3" xfId="0" applyNumberFormat="1" applyFont="1" applyFill="1" applyBorder="1" applyAlignment="1"/>
    <xf numFmtId="41" fontId="4" fillId="36" borderId="3" xfId="0" applyNumberFormat="1" applyFont="1" applyFill="1" applyBorder="1" applyAlignment="1">
      <alignment horizontal="right"/>
    </xf>
    <xf numFmtId="41" fontId="4" fillId="36" borderId="5" xfId="0" applyNumberFormat="1" applyFont="1" applyFill="1" applyBorder="1" applyAlignment="1">
      <alignment horizontal="right"/>
    </xf>
    <xf numFmtId="41" fontId="16" fillId="32" borderId="44" xfId="0" applyNumberFormat="1" applyFont="1" applyFill="1" applyBorder="1" applyAlignment="1"/>
    <xf numFmtId="164" fontId="4" fillId="40" borderId="11" xfId="0" applyNumberFormat="1" applyFont="1" applyFill="1" applyBorder="1" applyAlignment="1"/>
    <xf numFmtId="164" fontId="7" fillId="12" borderId="11" xfId="1" applyNumberFormat="1" applyFont="1" applyFill="1" applyBorder="1" applyAlignment="1"/>
    <xf numFmtId="164" fontId="7" fillId="18" borderId="7" xfId="1" applyNumberFormat="1" applyFont="1" applyFill="1" applyBorder="1" applyAlignment="1"/>
    <xf numFmtId="165" fontId="4" fillId="17" borderId="20" xfId="2" applyNumberFormat="1" applyFont="1" applyFill="1" applyBorder="1" applyAlignment="1">
      <alignment horizontal="right"/>
    </xf>
    <xf numFmtId="164" fontId="4" fillId="40" borderId="25" xfId="0" applyNumberFormat="1" applyFont="1" applyFill="1" applyBorder="1" applyAlignment="1"/>
    <xf numFmtId="164" fontId="7" fillId="12" borderId="25" xfId="1" applyNumberFormat="1" applyFont="1" applyFill="1" applyBorder="1" applyAlignment="1"/>
    <xf numFmtId="9" fontId="10" fillId="22" borderId="33" xfId="1" applyFont="1" applyFill="1" applyBorder="1" applyAlignment="1"/>
    <xf numFmtId="165" fontId="7" fillId="22" borderId="20" xfId="2" applyNumberFormat="1" applyFont="1" applyFill="1" applyBorder="1" applyAlignment="1"/>
    <xf numFmtId="41" fontId="3" fillId="30" borderId="7" xfId="0" applyNumberFormat="1" applyFont="1" applyFill="1" applyBorder="1" applyAlignment="1"/>
    <xf numFmtId="41" fontId="13" fillId="30" borderId="7" xfId="0" applyNumberFormat="1" applyFont="1" applyFill="1" applyBorder="1" applyAlignment="1"/>
    <xf numFmtId="41" fontId="3" fillId="31" borderId="7" xfId="0" applyNumberFormat="1" applyFont="1" applyFill="1" applyBorder="1" applyAlignment="1"/>
    <xf numFmtId="41" fontId="4" fillId="30" borderId="7" xfId="0" applyNumberFormat="1" applyFont="1" applyFill="1" applyBorder="1" applyAlignment="1"/>
    <xf numFmtId="9" fontId="4" fillId="29" borderId="7" xfId="1" applyFont="1" applyFill="1" applyBorder="1" applyAlignment="1"/>
    <xf numFmtId="164" fontId="4" fillId="29" borderId="7" xfId="1" applyNumberFormat="1" applyFont="1" applyFill="1" applyBorder="1" applyAlignment="1"/>
    <xf numFmtId="41" fontId="4" fillId="27" borderId="20" xfId="0" applyNumberFormat="1" applyFont="1" applyFill="1" applyBorder="1" applyAlignment="1"/>
    <xf numFmtId="41" fontId="4" fillId="27" borderId="17" xfId="0" applyNumberFormat="1" applyFont="1" applyFill="1" applyBorder="1" applyAlignment="1"/>
    <xf numFmtId="9" fontId="4" fillId="28" borderId="20" xfId="1" applyFont="1" applyFill="1" applyBorder="1" applyAlignment="1"/>
    <xf numFmtId="9" fontId="7" fillId="25" borderId="20" xfId="1" applyFont="1" applyFill="1" applyBorder="1" applyAlignment="1"/>
    <xf numFmtId="165" fontId="7" fillId="25" borderId="20" xfId="2" applyNumberFormat="1" applyFont="1" applyFill="1" applyBorder="1" applyAlignment="1"/>
    <xf numFmtId="9" fontId="4" fillId="31" borderId="20" xfId="1" applyFont="1" applyFill="1" applyBorder="1" applyAlignment="1">
      <alignment horizontal="right"/>
    </xf>
    <xf numFmtId="165" fontId="7" fillId="33" borderId="20" xfId="2" applyNumberFormat="1" applyFont="1" applyFill="1" applyBorder="1" applyAlignment="1"/>
    <xf numFmtId="164" fontId="7" fillId="18" borderId="9" xfId="1" applyNumberFormat="1" applyFont="1" applyFill="1" applyBorder="1" applyAlignment="1"/>
    <xf numFmtId="164" fontId="4" fillId="25" borderId="34" xfId="1" applyNumberFormat="1" applyFont="1" applyFill="1" applyBorder="1" applyAlignment="1"/>
    <xf numFmtId="164" fontId="4" fillId="29" borderId="9" xfId="1" applyNumberFormat="1" applyFont="1" applyFill="1" applyBorder="1" applyAlignment="1"/>
    <xf numFmtId="9" fontId="16" fillId="32" borderId="20" xfId="1" applyFont="1" applyFill="1" applyBorder="1" applyAlignment="1"/>
    <xf numFmtId="9" fontId="16" fillId="32" borderId="42" xfId="1" applyFont="1" applyFill="1" applyBorder="1" applyAlignment="1"/>
    <xf numFmtId="9" fontId="4" fillId="32" borderId="17" xfId="1" applyFont="1" applyFill="1" applyBorder="1" applyAlignment="1"/>
    <xf numFmtId="9" fontId="4" fillId="40" borderId="24" xfId="1" applyFont="1" applyFill="1" applyBorder="1" applyAlignment="1"/>
    <xf numFmtId="9" fontId="4" fillId="40" borderId="11" xfId="1" applyFont="1" applyFill="1" applyBorder="1" applyAlignment="1"/>
    <xf numFmtId="9" fontId="4" fillId="40" borderId="24" xfId="0" applyNumberFormat="1" applyFont="1" applyFill="1" applyBorder="1" applyAlignment="1"/>
    <xf numFmtId="9" fontId="7" fillId="12" borderId="24" xfId="1" applyNumberFormat="1" applyFont="1" applyFill="1" applyBorder="1" applyAlignment="1"/>
    <xf numFmtId="9" fontId="4" fillId="40" borderId="11" xfId="0" applyNumberFormat="1" applyFont="1" applyFill="1" applyBorder="1" applyAlignment="1"/>
    <xf numFmtId="9" fontId="7" fillId="12" borderId="11" xfId="1" applyNumberFormat="1" applyFont="1" applyFill="1" applyBorder="1" applyAlignment="1"/>
    <xf numFmtId="9" fontId="4" fillId="40" borderId="25" xfId="0" applyNumberFormat="1" applyFont="1" applyFill="1" applyBorder="1" applyAlignment="1"/>
    <xf numFmtId="9" fontId="7" fillId="12" borderId="25" xfId="1" applyNumberFormat="1" applyFont="1" applyFill="1" applyBorder="1" applyAlignment="1"/>
    <xf numFmtId="164" fontId="4" fillId="40" borderId="4" xfId="0" applyNumberFormat="1" applyFont="1" applyFill="1" applyBorder="1" applyAlignment="1"/>
    <xf numFmtId="164" fontId="7" fillId="12" borderId="4" xfId="1" applyNumberFormat="1" applyFont="1" applyFill="1" applyBorder="1" applyAlignment="1"/>
    <xf numFmtId="9" fontId="9" fillId="18" borderId="33" xfId="0" applyNumberFormat="1" applyFont="1" applyFill="1" applyBorder="1" applyAlignment="1"/>
    <xf numFmtId="9" fontId="9" fillId="18" borderId="33" xfId="1" applyNumberFormat="1" applyFont="1" applyFill="1" applyBorder="1" applyAlignment="1"/>
    <xf numFmtId="9" fontId="4" fillId="34" borderId="11" xfId="1" applyFont="1" applyFill="1" applyBorder="1" applyAlignment="1"/>
    <xf numFmtId="9" fontId="4" fillId="39" borderId="11" xfId="0" applyNumberFormat="1" applyFont="1" applyFill="1" applyBorder="1" applyAlignment="1"/>
    <xf numFmtId="9" fontId="7" fillId="36" borderId="11" xfId="1" applyNumberFormat="1" applyFont="1" applyFill="1" applyBorder="1" applyAlignment="1"/>
    <xf numFmtId="9" fontId="4" fillId="39" borderId="38" xfId="0" applyNumberFormat="1" applyFont="1" applyFill="1" applyBorder="1" applyAlignment="1"/>
    <xf numFmtId="9" fontId="7" fillId="36" borderId="38" xfId="1" applyNumberFormat="1" applyFont="1" applyFill="1" applyBorder="1" applyAlignment="1"/>
    <xf numFmtId="9" fontId="4" fillId="17" borderId="20" xfId="1" applyNumberFormat="1" applyFont="1" applyFill="1" applyBorder="1" applyAlignment="1">
      <alignment horizontal="right"/>
    </xf>
    <xf numFmtId="41" fontId="4" fillId="37" borderId="24" xfId="0" applyNumberFormat="1" applyFont="1" applyFill="1" applyBorder="1" applyAlignment="1"/>
    <xf numFmtId="41" fontId="4" fillId="37" borderId="25" xfId="0" applyNumberFormat="1" applyFont="1" applyFill="1" applyBorder="1" applyAlignment="1"/>
    <xf numFmtId="41" fontId="4" fillId="37" borderId="4" xfId="0" applyNumberFormat="1" applyFont="1" applyFill="1" applyBorder="1" applyAlignment="1"/>
    <xf numFmtId="41" fontId="4" fillId="37" borderId="4" xfId="0" applyNumberFormat="1" applyFont="1" applyFill="1" applyBorder="1" applyAlignment="1">
      <alignment horizontal="right"/>
    </xf>
    <xf numFmtId="41" fontId="4" fillId="37" borderId="11" xfId="0" applyNumberFormat="1" applyFont="1" applyFill="1" applyBorder="1" applyAlignment="1">
      <alignment horizontal="right"/>
    </xf>
    <xf numFmtId="9" fontId="4" fillId="32" borderId="44" xfId="1" applyFont="1" applyFill="1" applyBorder="1" applyAlignment="1"/>
    <xf numFmtId="165" fontId="9" fillId="33" borderId="44" xfId="2" applyNumberFormat="1" applyFont="1" applyFill="1" applyBorder="1" applyAlignment="1"/>
    <xf numFmtId="0" fontId="1" fillId="3" borderId="0" xfId="0" applyFont="1" applyFill="1"/>
    <xf numFmtId="0" fontId="7" fillId="2" borderId="34" xfId="0" applyFont="1" applyFill="1" applyBorder="1" applyAlignment="1"/>
    <xf numFmtId="9" fontId="4" fillId="29" borderId="33" xfId="1" applyFont="1" applyFill="1" applyBorder="1" applyAlignment="1"/>
    <xf numFmtId="164" fontId="4" fillId="29" borderId="33" xfId="1" applyNumberFormat="1" applyFont="1" applyFill="1" applyBorder="1" applyAlignment="1"/>
    <xf numFmtId="9" fontId="4" fillId="29" borderId="34" xfId="1" applyFont="1" applyFill="1" applyBorder="1" applyAlignment="1"/>
    <xf numFmtId="41" fontId="4" fillId="11" borderId="11" xfId="0" applyNumberFormat="1" applyFont="1" applyFill="1" applyBorder="1" applyAlignment="1">
      <alignment horizontal="left"/>
    </xf>
    <xf numFmtId="41" fontId="3" fillId="11" borderId="11" xfId="0" applyNumberFormat="1" applyFont="1" applyFill="1" applyBorder="1" applyAlignment="1">
      <alignment horizontal="left"/>
    </xf>
    <xf numFmtId="41" fontId="3" fillId="11" borderId="5" xfId="0" applyNumberFormat="1" applyFont="1" applyFill="1" applyBorder="1" applyAlignment="1">
      <alignment horizontal="left"/>
    </xf>
    <xf numFmtId="41" fontId="3" fillId="0" borderId="11" xfId="0" applyNumberFormat="1" applyFont="1" applyFill="1" applyBorder="1" applyAlignment="1">
      <alignment horizontal="left"/>
    </xf>
    <xf numFmtId="41" fontId="3" fillId="0" borderId="2" xfId="0" applyNumberFormat="1" applyFont="1" applyFill="1" applyBorder="1" applyAlignment="1"/>
    <xf numFmtId="41" fontId="3" fillId="0" borderId="1" xfId="0" applyNumberFormat="1" applyFont="1" applyFill="1" applyBorder="1" applyAlignment="1"/>
    <xf numFmtId="41" fontId="3" fillId="0" borderId="12" xfId="0" applyNumberFormat="1" applyFont="1" applyFill="1" applyBorder="1" applyAlignment="1"/>
    <xf numFmtId="41" fontId="4" fillId="36" borderId="1" xfId="0" applyNumberFormat="1" applyFont="1" applyFill="1" applyBorder="1" applyAlignment="1">
      <alignment horizontal="center"/>
    </xf>
    <xf numFmtId="41" fontId="4" fillId="16" borderId="29" xfId="0" applyNumberFormat="1" applyFont="1" applyFill="1" applyBorder="1" applyAlignment="1"/>
    <xf numFmtId="41" fontId="4" fillId="16" borderId="8" xfId="0" applyNumberFormat="1" applyFont="1" applyFill="1" applyBorder="1" applyAlignment="1"/>
    <xf numFmtId="41" fontId="4" fillId="17" borderId="16" xfId="0" applyNumberFormat="1" applyFont="1" applyFill="1" applyBorder="1" applyAlignment="1"/>
    <xf numFmtId="41" fontId="3" fillId="0" borderId="26" xfId="0" applyNumberFormat="1" applyFont="1" applyFill="1" applyBorder="1" applyAlignment="1"/>
    <xf numFmtId="41" fontId="4" fillId="21" borderId="16" xfId="0" applyNumberFormat="1" applyFont="1" applyFill="1" applyBorder="1" applyAlignment="1"/>
    <xf numFmtId="41" fontId="3" fillId="0" borderId="8" xfId="0" applyNumberFormat="1" applyFont="1" applyFill="1" applyBorder="1" applyAlignment="1"/>
    <xf numFmtId="41" fontId="4" fillId="23" borderId="53" xfId="0" applyNumberFormat="1" applyFont="1" applyFill="1" applyBorder="1" applyAlignment="1"/>
    <xf numFmtId="41" fontId="3" fillId="13" borderId="5" xfId="0" applyNumberFormat="1" applyFont="1" applyFill="1" applyBorder="1" applyAlignment="1"/>
    <xf numFmtId="41" fontId="3" fillId="13" borderId="14" xfId="0" applyNumberFormat="1" applyFont="1" applyFill="1" applyBorder="1" applyAlignment="1"/>
    <xf numFmtId="41" fontId="4" fillId="35" borderId="28" xfId="0" applyNumberFormat="1" applyFont="1" applyFill="1" applyBorder="1" applyAlignment="1"/>
    <xf numFmtId="41" fontId="4" fillId="35" borderId="9" xfId="0" applyNumberFormat="1" applyFont="1" applyFill="1" applyBorder="1" applyAlignment="1"/>
    <xf numFmtId="41" fontId="3" fillId="13" borderId="3" xfId="0" applyNumberFormat="1" applyFont="1" applyFill="1" applyBorder="1" applyAlignment="1"/>
    <xf numFmtId="41" fontId="3" fillId="13" borderId="22" xfId="0" applyNumberFormat="1" applyFont="1" applyFill="1" applyBorder="1" applyAlignment="1"/>
    <xf numFmtId="41" fontId="3" fillId="13" borderId="9" xfId="0" applyNumberFormat="1" applyFont="1" applyFill="1" applyBorder="1" applyAlignment="1"/>
    <xf numFmtId="41" fontId="4" fillId="27" borderId="16" xfId="0" applyNumberFormat="1" applyFont="1" applyFill="1" applyBorder="1" applyAlignment="1"/>
    <xf numFmtId="165" fontId="4" fillId="31" borderId="16" xfId="2" applyNumberFormat="1" applyFont="1" applyFill="1" applyBorder="1" applyAlignment="1">
      <alignment horizontal="right"/>
    </xf>
    <xf numFmtId="41" fontId="4" fillId="32" borderId="16" xfId="0" applyNumberFormat="1" applyFont="1" applyFill="1" applyBorder="1" applyAlignment="1"/>
    <xf numFmtId="41" fontId="4" fillId="30" borderId="18" xfId="0" applyNumberFormat="1" applyFont="1" applyFill="1" applyBorder="1" applyAlignment="1"/>
    <xf numFmtId="41" fontId="3" fillId="11" borderId="1" xfId="0" applyNumberFormat="1" applyFont="1" applyFill="1" applyBorder="1" applyAlignment="1">
      <alignment horizontal="left"/>
    </xf>
    <xf numFmtId="41" fontId="3" fillId="11" borderId="1" xfId="0" applyNumberFormat="1" applyFont="1" applyFill="1" applyBorder="1" applyAlignment="1"/>
    <xf numFmtId="41" fontId="4" fillId="34" borderId="1" xfId="0" applyNumberFormat="1" applyFont="1" applyFill="1" applyBorder="1" applyAlignment="1"/>
    <xf numFmtId="165" fontId="3" fillId="0" borderId="54" xfId="2" applyNumberFormat="1" applyFont="1" applyFill="1" applyBorder="1" applyAlignment="1"/>
    <xf numFmtId="165" fontId="3" fillId="11" borderId="55" xfId="2" applyNumberFormat="1" applyFont="1" applyFill="1" applyBorder="1" applyAlignment="1"/>
    <xf numFmtId="165" fontId="3" fillId="0" borderId="55" xfId="2" applyNumberFormat="1" applyFont="1" applyFill="1" applyBorder="1" applyAlignment="1"/>
    <xf numFmtId="41" fontId="4" fillId="23" borderId="16" xfId="0" applyNumberFormat="1" applyFont="1" applyFill="1" applyBorder="1" applyAlignment="1"/>
    <xf numFmtId="41" fontId="3" fillId="11" borderId="2" xfId="0" applyNumberFormat="1" applyFont="1" applyFill="1" applyBorder="1" applyAlignment="1"/>
    <xf numFmtId="41" fontId="4" fillId="36" borderId="2" xfId="0" applyNumberFormat="1" applyFont="1" applyFill="1" applyBorder="1" applyAlignment="1">
      <alignment horizontal="right"/>
    </xf>
    <xf numFmtId="41" fontId="4" fillId="36" borderId="1" xfId="0" applyNumberFormat="1" applyFont="1" applyFill="1" applyBorder="1" applyAlignment="1">
      <alignment horizontal="right"/>
    </xf>
    <xf numFmtId="41" fontId="16" fillId="32" borderId="43" xfId="0" applyNumberFormat="1" applyFont="1" applyFill="1" applyBorder="1" applyAlignment="1"/>
    <xf numFmtId="0" fontId="13" fillId="2" borderId="35" xfId="0" applyFont="1" applyFill="1" applyBorder="1" applyAlignment="1"/>
    <xf numFmtId="0" fontId="7" fillId="0" borderId="35" xfId="0" applyFont="1" applyFill="1" applyBorder="1" applyAlignment="1"/>
    <xf numFmtId="0" fontId="7" fillId="2" borderId="35" xfId="0" applyFont="1" applyFill="1" applyBorder="1" applyAlignment="1"/>
    <xf numFmtId="164" fontId="7" fillId="2" borderId="35" xfId="1" applyNumberFormat="1" applyFont="1" applyFill="1" applyBorder="1" applyAlignment="1"/>
    <xf numFmtId="0" fontId="7" fillId="2" borderId="37" xfId="0" applyFont="1" applyFill="1" applyBorder="1" applyAlignment="1"/>
    <xf numFmtId="41" fontId="3" fillId="13" borderId="1" xfId="0" applyNumberFormat="1" applyFont="1" applyFill="1" applyBorder="1" applyAlignment="1"/>
    <xf numFmtId="41" fontId="4" fillId="34" borderId="41" xfId="0" applyNumberFormat="1" applyFont="1" applyFill="1" applyBorder="1" applyAlignment="1"/>
    <xf numFmtId="165" fontId="3" fillId="0" borderId="2" xfId="2" applyNumberFormat="1" applyFont="1" applyFill="1" applyBorder="1" applyAlignment="1"/>
    <xf numFmtId="41" fontId="3" fillId="13" borderId="6" xfId="0" applyNumberFormat="1" applyFont="1" applyFill="1" applyBorder="1" applyAlignment="1"/>
    <xf numFmtId="41" fontId="3" fillId="13" borderId="58" xfId="0" applyNumberFormat="1" applyFont="1" applyFill="1" applyBorder="1" applyAlignment="1"/>
    <xf numFmtId="41" fontId="4" fillId="36" borderId="6" xfId="0" applyNumberFormat="1" applyFont="1" applyFill="1" applyBorder="1" applyAlignment="1">
      <alignment horizontal="center"/>
    </xf>
    <xf numFmtId="41" fontId="4" fillId="35" borderId="59" xfId="0" applyNumberFormat="1" applyFont="1" applyFill="1" applyBorder="1" applyAlignment="1"/>
    <xf numFmtId="41" fontId="4" fillId="35" borderId="57" xfId="0" applyNumberFormat="1" applyFont="1" applyFill="1" applyBorder="1" applyAlignment="1"/>
    <xf numFmtId="41" fontId="4" fillId="17" borderId="60" xfId="0" applyNumberFormat="1" applyFont="1" applyFill="1" applyBorder="1" applyAlignment="1"/>
    <xf numFmtId="41" fontId="3" fillId="13" borderId="56" xfId="0" applyNumberFormat="1" applyFont="1" applyFill="1" applyBorder="1" applyAlignment="1"/>
    <xf numFmtId="41" fontId="3" fillId="13" borderId="61" xfId="0" applyNumberFormat="1" applyFont="1" applyFill="1" applyBorder="1" applyAlignment="1"/>
    <xf numFmtId="41" fontId="4" fillId="21" borderId="60" xfId="0" applyNumberFormat="1" applyFont="1" applyFill="1" applyBorder="1" applyAlignment="1"/>
    <xf numFmtId="41" fontId="3" fillId="13" borderId="57" xfId="0" applyNumberFormat="1" applyFont="1" applyFill="1" applyBorder="1" applyAlignment="1"/>
    <xf numFmtId="41" fontId="4" fillId="23" borderId="60" xfId="0" applyNumberFormat="1" applyFont="1" applyFill="1" applyBorder="1" applyAlignment="1"/>
    <xf numFmtId="41" fontId="4" fillId="27" borderId="60" xfId="0" applyNumberFormat="1" applyFont="1" applyFill="1" applyBorder="1" applyAlignment="1"/>
    <xf numFmtId="165" fontId="4" fillId="31" borderId="60" xfId="2" applyNumberFormat="1" applyFont="1" applyFill="1" applyBorder="1" applyAlignment="1">
      <alignment horizontal="right"/>
    </xf>
    <xf numFmtId="41" fontId="4" fillId="32" borderId="60" xfId="0" applyNumberFormat="1" applyFont="1" applyFill="1" applyBorder="1" applyAlignment="1"/>
    <xf numFmtId="41" fontId="3" fillId="11" borderId="6" xfId="0" applyNumberFormat="1" applyFont="1" applyFill="1" applyBorder="1" applyAlignment="1">
      <alignment horizontal="left"/>
    </xf>
    <xf numFmtId="41" fontId="4" fillId="34" borderId="6" xfId="0" applyNumberFormat="1" applyFont="1" applyFill="1" applyBorder="1" applyAlignment="1"/>
    <xf numFmtId="165" fontId="3" fillId="13" borderId="6" xfId="2" applyNumberFormat="1" applyFont="1" applyFill="1" applyBorder="1" applyAlignment="1"/>
    <xf numFmtId="165" fontId="3" fillId="11" borderId="6" xfId="2" applyNumberFormat="1" applyFont="1" applyFill="1" applyBorder="1" applyAlignment="1"/>
    <xf numFmtId="41" fontId="3" fillId="11" borderId="56" xfId="0" applyNumberFormat="1" applyFont="1" applyFill="1" applyBorder="1" applyAlignment="1"/>
    <xf numFmtId="41" fontId="3" fillId="12" borderId="6" xfId="0" applyNumberFormat="1" applyFont="1" applyFill="1" applyBorder="1" applyAlignment="1"/>
    <xf numFmtId="41" fontId="3" fillId="12" borderId="58" xfId="0" applyNumberFormat="1" applyFont="1" applyFill="1" applyBorder="1" applyAlignment="1"/>
    <xf numFmtId="41" fontId="4" fillId="36" borderId="56" xfId="0" applyNumberFormat="1" applyFont="1" applyFill="1" applyBorder="1" applyAlignment="1">
      <alignment horizontal="right"/>
    </xf>
    <xf numFmtId="41" fontId="4" fillId="36" borderId="6" xfId="0" applyNumberFormat="1" applyFont="1" applyFill="1" applyBorder="1" applyAlignment="1">
      <alignment horizontal="right"/>
    </xf>
    <xf numFmtId="41" fontId="16" fillId="32" borderId="62" xfId="0" applyNumberFormat="1" applyFont="1" applyFill="1" applyBorder="1" applyAlignment="1"/>
    <xf numFmtId="9" fontId="4" fillId="40" borderId="4" xfId="0" applyNumberFormat="1" applyFont="1" applyFill="1" applyBorder="1" applyAlignment="1"/>
    <xf numFmtId="9" fontId="7" fillId="12" borderId="4" xfId="1" applyNumberFormat="1" applyFont="1" applyFill="1" applyBorder="1" applyAlignment="1"/>
    <xf numFmtId="41" fontId="3" fillId="12" borderId="5" xfId="0" applyNumberFormat="1" applyFont="1" applyFill="1" applyBorder="1" applyAlignment="1"/>
    <xf numFmtId="41" fontId="3" fillId="12" borderId="14" xfId="0" applyNumberFormat="1" applyFont="1" applyFill="1" applyBorder="1" applyAlignment="1"/>
    <xf numFmtId="41" fontId="3" fillId="0" borderId="56" xfId="0" applyNumberFormat="1" applyFont="1" applyFill="1" applyBorder="1" applyAlignment="1"/>
    <xf numFmtId="41" fontId="3" fillId="0" borderId="6" xfId="0" applyNumberFormat="1" applyFont="1" applyFill="1" applyBorder="1" applyAlignment="1"/>
    <xf numFmtId="41" fontId="3" fillId="0" borderId="58" xfId="0" applyNumberFormat="1" applyFont="1" applyFill="1" applyBorder="1" applyAlignment="1"/>
    <xf numFmtId="41" fontId="4" fillId="16" borderId="59" xfId="0" applyNumberFormat="1" applyFont="1" applyFill="1" applyBorder="1" applyAlignment="1"/>
    <xf numFmtId="41" fontId="4" fillId="16" borderId="57" xfId="0" applyNumberFormat="1" applyFont="1" applyFill="1" applyBorder="1" applyAlignment="1"/>
    <xf numFmtId="41" fontId="3" fillId="0" borderId="61" xfId="0" applyNumberFormat="1" applyFont="1" applyFill="1" applyBorder="1" applyAlignment="1"/>
    <xf numFmtId="41" fontId="3" fillId="0" borderId="57" xfId="0" applyNumberFormat="1" applyFont="1" applyFill="1" applyBorder="1" applyAlignment="1"/>
    <xf numFmtId="165" fontId="3" fillId="0" borderId="6" xfId="2" applyNumberFormat="1" applyFont="1" applyFill="1" applyBorder="1" applyAlignment="1"/>
    <xf numFmtId="0" fontId="6" fillId="2" borderId="0" xfId="0" applyFont="1" applyFill="1" applyAlignment="1"/>
    <xf numFmtId="0" fontId="18" fillId="3" borderId="0" xfId="0" applyFont="1" applyFill="1" applyBorder="1" applyAlignment="1"/>
    <xf numFmtId="0" fontId="18" fillId="3" borderId="10" xfId="0" applyFont="1" applyFill="1" applyBorder="1" applyAlignment="1"/>
    <xf numFmtId="0" fontId="1" fillId="2" borderId="0" xfId="0" applyFont="1" applyFill="1" applyAlignment="1"/>
    <xf numFmtId="0" fontId="6" fillId="13" borderId="50" xfId="0" applyFont="1" applyFill="1" applyBorder="1"/>
    <xf numFmtId="0" fontId="6" fillId="13" borderId="52" xfId="0" applyFont="1" applyFill="1" applyBorder="1"/>
    <xf numFmtId="41" fontId="4" fillId="36" borderId="25" xfId="0" applyNumberFormat="1" applyFont="1" applyFill="1" applyBorder="1" applyAlignment="1"/>
    <xf numFmtId="41" fontId="4" fillId="12" borderId="25" xfId="0" applyNumberFormat="1" applyFont="1" applyFill="1" applyBorder="1" applyAlignment="1"/>
    <xf numFmtId="0" fontId="6" fillId="2" borderId="0" xfId="0" applyFont="1" applyFill="1"/>
    <xf numFmtId="49" fontId="3" fillId="2" borderId="2" xfId="0" applyNumberFormat="1" applyFont="1" applyFill="1" applyBorder="1" applyAlignment="1">
      <alignment horizontal="left" indent="1"/>
    </xf>
    <xf numFmtId="49" fontId="3" fillId="2" borderId="1" xfId="0" applyNumberFormat="1" applyFont="1" applyFill="1" applyBorder="1" applyAlignment="1">
      <alignment horizontal="left" indent="1"/>
    </xf>
    <xf numFmtId="0" fontId="3" fillId="2" borderId="12" xfId="0" applyFont="1" applyFill="1" applyBorder="1" applyAlignment="1">
      <alignment horizontal="left" indent="1"/>
    </xf>
    <xf numFmtId="0" fontId="4" fillId="16" borderId="1" xfId="0" applyFont="1" applyFill="1" applyBorder="1" applyAlignment="1">
      <alignment horizontal="left"/>
    </xf>
    <xf numFmtId="0" fontId="4" fillId="35" borderId="29" xfId="0" applyFont="1" applyFill="1" applyBorder="1" applyAlignment="1">
      <alignment horizontal="left"/>
    </xf>
    <xf numFmtId="49" fontId="4" fillId="35" borderId="8" xfId="0" applyNumberFormat="1" applyFont="1" applyFill="1" applyBorder="1" applyAlignment="1">
      <alignment horizontal="left"/>
    </xf>
    <xf numFmtId="0" fontId="4" fillId="17" borderId="16" xfId="0" applyFont="1" applyFill="1" applyBorder="1" applyAlignment="1"/>
    <xf numFmtId="0" fontId="9" fillId="18" borderId="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indent="1"/>
    </xf>
    <xf numFmtId="0" fontId="3" fillId="0" borderId="26" xfId="0" applyFont="1" applyFill="1" applyBorder="1" applyAlignment="1">
      <alignment horizontal="left" indent="1"/>
    </xf>
    <xf numFmtId="0" fontId="3" fillId="0" borderId="12" xfId="0" applyFont="1" applyFill="1" applyBorder="1" applyAlignment="1">
      <alignment horizontal="left" indent="1"/>
    </xf>
    <xf numFmtId="0" fontId="23" fillId="2" borderId="0" xfId="0" applyFont="1" applyFill="1" applyAlignment="1"/>
    <xf numFmtId="0" fontId="3" fillId="2" borderId="1" xfId="0" applyFont="1" applyFill="1" applyBorder="1" applyAlignment="1">
      <alignment horizontal="left" indent="1"/>
    </xf>
    <xf numFmtId="0" fontId="4" fillId="21" borderId="20" xfId="0" applyFont="1" applyFill="1" applyBorder="1" applyAlignment="1">
      <alignment horizontal="left"/>
    </xf>
    <xf numFmtId="0" fontId="9" fillId="22" borderId="3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indent="1"/>
    </xf>
    <xf numFmtId="0" fontId="3" fillId="0" borderId="25" xfId="0" applyFont="1" applyFill="1" applyBorder="1" applyAlignment="1">
      <alignment horizontal="left" indent="1"/>
    </xf>
    <xf numFmtId="0" fontId="3" fillId="2" borderId="11" xfId="0" applyFont="1" applyFill="1" applyBorder="1" applyAlignment="1">
      <alignment horizontal="left" indent="1"/>
    </xf>
    <xf numFmtId="0" fontId="3" fillId="2" borderId="23" xfId="0" applyFont="1" applyFill="1" applyBorder="1" applyAlignment="1">
      <alignment horizontal="left" indent="1"/>
    </xf>
    <xf numFmtId="0" fontId="4" fillId="23" borderId="32" xfId="0" applyFont="1" applyFill="1" applyBorder="1" applyAlignment="1">
      <alignment horizontal="left"/>
    </xf>
    <xf numFmtId="0" fontId="4" fillId="25" borderId="31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 indent="1"/>
    </xf>
    <xf numFmtId="0" fontId="4" fillId="27" borderId="16" xfId="0" applyFont="1" applyFill="1" applyBorder="1" applyAlignment="1">
      <alignment horizontal="left"/>
    </xf>
    <xf numFmtId="0" fontId="4" fillId="29" borderId="8" xfId="0" applyFont="1" applyFill="1" applyBorder="1" applyAlignment="1">
      <alignment horizontal="left"/>
    </xf>
    <xf numFmtId="0" fontId="4" fillId="31" borderId="16" xfId="0" applyFont="1" applyFill="1" applyBorder="1" applyAlignment="1">
      <alignment horizontal="left"/>
    </xf>
    <xf numFmtId="0" fontId="4" fillId="32" borderId="16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26" fillId="2" borderId="0" xfId="3" applyFont="1" applyFill="1" applyBorder="1" applyAlignment="1">
      <alignment horizontal="left"/>
    </xf>
    <xf numFmtId="0" fontId="15" fillId="2" borderId="0" xfId="3" applyFont="1" applyFill="1" applyBorder="1" applyAlignment="1">
      <alignment horizontal="left"/>
    </xf>
    <xf numFmtId="0" fontId="27" fillId="2" borderId="0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0" fontId="15" fillId="6" borderId="0" xfId="3" applyFont="1" applyFill="1" applyBorder="1" applyAlignment="1">
      <alignment horizontal="left"/>
    </xf>
    <xf numFmtId="164" fontId="15" fillId="2" borderId="0" xfId="4" applyNumberFormat="1" applyFont="1" applyFill="1" applyBorder="1" applyAlignment="1">
      <alignment horizontal="left"/>
    </xf>
    <xf numFmtId="0" fontId="4" fillId="0" borderId="36" xfId="0" applyFont="1" applyFill="1" applyBorder="1" applyAlignment="1"/>
    <xf numFmtId="0" fontId="4" fillId="15" borderId="29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indent="1"/>
    </xf>
    <xf numFmtId="0" fontId="4" fillId="17" borderId="41" xfId="0" applyFont="1" applyFill="1" applyBorder="1" applyAlignment="1">
      <alignment horizontal="left"/>
    </xf>
    <xf numFmtId="0" fontId="9" fillId="18" borderId="31" xfId="0" applyFont="1" applyFill="1" applyBorder="1" applyAlignment="1">
      <alignment horizontal="left"/>
    </xf>
    <xf numFmtId="0" fontId="13" fillId="0" borderId="4" xfId="5" applyFont="1" applyBorder="1" applyAlignment="1">
      <alignment horizontal="left" indent="1"/>
    </xf>
    <xf numFmtId="49" fontId="3" fillId="2" borderId="11" xfId="0" applyNumberFormat="1" applyFont="1" applyFill="1" applyBorder="1" applyAlignment="1" applyProtection="1">
      <alignment horizontal="left" indent="1"/>
      <protection locked="0"/>
    </xf>
    <xf numFmtId="49" fontId="3" fillId="2" borderId="11" xfId="0" applyNumberFormat="1" applyFont="1" applyFill="1" applyBorder="1" applyAlignment="1">
      <alignment horizontal="left" indent="1"/>
    </xf>
    <xf numFmtId="0" fontId="9" fillId="22" borderId="8" xfId="0" applyFont="1" applyFill="1" applyBorder="1" applyAlignment="1">
      <alignment horizontal="left"/>
    </xf>
    <xf numFmtId="0" fontId="4" fillId="29" borderId="3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49" fontId="4" fillId="2" borderId="31" xfId="0" applyNumberFormat="1" applyFont="1" applyFill="1" applyBorder="1" applyAlignment="1">
      <alignment horizontal="left"/>
    </xf>
    <xf numFmtId="0" fontId="6" fillId="2" borderId="33" xfId="0" applyFont="1" applyFill="1" applyBorder="1" applyAlignment="1"/>
    <xf numFmtId="0" fontId="6" fillId="0" borderId="33" xfId="0" applyFont="1" applyFill="1" applyBorder="1" applyAlignment="1"/>
    <xf numFmtId="0" fontId="6" fillId="6" borderId="33" xfId="0" applyFont="1" applyFill="1" applyBorder="1" applyAlignment="1"/>
    <xf numFmtId="0" fontId="4" fillId="36" borderId="1" xfId="0" applyFont="1" applyFill="1" applyBorder="1" applyAlignment="1">
      <alignment horizontal="right"/>
    </xf>
    <xf numFmtId="0" fontId="6" fillId="3" borderId="0" xfId="0" applyFont="1" applyFill="1" applyAlignment="1"/>
    <xf numFmtId="0" fontId="6" fillId="3" borderId="0" xfId="0" applyFont="1" applyFill="1" applyBorder="1" applyAlignment="1"/>
    <xf numFmtId="0" fontId="1" fillId="3" borderId="0" xfId="0" applyFont="1" applyFill="1" applyAlignment="1"/>
    <xf numFmtId="0" fontId="1" fillId="0" borderId="0" xfId="0" applyFont="1" applyFill="1" applyAlignment="1"/>
    <xf numFmtId="49" fontId="4" fillId="2" borderId="36" xfId="0" applyNumberFormat="1" applyFont="1" applyFill="1" applyBorder="1" applyAlignment="1">
      <alignment horizontal="left"/>
    </xf>
    <xf numFmtId="0" fontId="6" fillId="2" borderId="35" xfId="0" applyFont="1" applyFill="1" applyBorder="1" applyAlignment="1"/>
    <xf numFmtId="0" fontId="6" fillId="0" borderId="35" xfId="0" applyFont="1" applyFill="1" applyBorder="1" applyAlignment="1"/>
    <xf numFmtId="0" fontId="6" fillId="6" borderId="35" xfId="0" applyFont="1" applyFill="1" applyBorder="1" applyAlignment="1"/>
    <xf numFmtId="41" fontId="4" fillId="3" borderId="0" xfId="0" applyNumberFormat="1" applyFont="1" applyFill="1"/>
    <xf numFmtId="0" fontId="3" fillId="2" borderId="0" xfId="0" applyFont="1" applyFill="1"/>
    <xf numFmtId="0" fontId="3" fillId="2" borderId="0" xfId="0" applyFont="1" applyFill="1" applyBorder="1"/>
    <xf numFmtId="0" fontId="6" fillId="41" borderId="49" xfId="0" applyFont="1" applyFill="1" applyBorder="1" applyAlignment="1">
      <alignment horizontal="left" indent="1"/>
    </xf>
    <xf numFmtId="0" fontId="19" fillId="5" borderId="0" xfId="0" applyFont="1" applyFill="1" applyBorder="1" applyAlignment="1">
      <alignment horizontal="left"/>
    </xf>
    <xf numFmtId="0" fontId="6" fillId="12" borderId="21" xfId="0" applyFont="1" applyFill="1" applyBorder="1" applyAlignment="1">
      <alignment horizontal="left"/>
    </xf>
    <xf numFmtId="0" fontId="6" fillId="13" borderId="2" xfId="0" applyFont="1" applyFill="1" applyBorder="1" applyAlignment="1"/>
    <xf numFmtId="0" fontId="6" fillId="13" borderId="21" xfId="0" applyFont="1" applyFill="1" applyBorder="1" applyAlignment="1"/>
    <xf numFmtId="0" fontId="6" fillId="13" borderId="64" xfId="0" applyFont="1" applyFill="1" applyBorder="1" applyAlignment="1"/>
    <xf numFmtId="0" fontId="6" fillId="12" borderId="1" xfId="0" applyFont="1" applyFill="1" applyBorder="1" applyAlignment="1"/>
    <xf numFmtId="0" fontId="6" fillId="12" borderId="0" xfId="0" applyFont="1" applyFill="1" applyBorder="1" applyAlignment="1"/>
    <xf numFmtId="0" fontId="6" fillId="12" borderId="50" xfId="0" applyFont="1" applyFill="1" applyBorder="1" applyAlignment="1"/>
    <xf numFmtId="0" fontId="6" fillId="11" borderId="1" xfId="0" applyFont="1" applyFill="1" applyBorder="1" applyAlignment="1"/>
    <xf numFmtId="0" fontId="6" fillId="11" borderId="0" xfId="0" applyFont="1" applyFill="1" applyBorder="1" applyAlignment="1"/>
    <xf numFmtId="0" fontId="19" fillId="5" borderId="10" xfId="0" applyFont="1" applyFill="1" applyBorder="1" applyAlignment="1">
      <alignment horizontal="left"/>
    </xf>
    <xf numFmtId="0" fontId="6" fillId="11" borderId="30" xfId="0" applyFont="1" applyFill="1" applyBorder="1" applyAlignment="1"/>
    <xf numFmtId="0" fontId="6" fillId="11" borderId="10" xfId="0" applyFont="1" applyFill="1" applyBorder="1" applyAlignment="1"/>
    <xf numFmtId="0" fontId="6" fillId="13" borderId="10" xfId="0" applyFont="1" applyFill="1" applyBorder="1"/>
    <xf numFmtId="0" fontId="31" fillId="2" borderId="0" xfId="0" applyFont="1" applyFill="1"/>
    <xf numFmtId="0" fontId="28" fillId="2" borderId="0" xfId="0" applyFont="1" applyFill="1"/>
    <xf numFmtId="9" fontId="4" fillId="36" borderId="5" xfId="1" applyFont="1" applyFill="1" applyBorder="1" applyAlignment="1">
      <alignment horizontal="right"/>
    </xf>
    <xf numFmtId="0" fontId="32" fillId="2" borderId="0" xfId="0" applyFont="1" applyFill="1"/>
    <xf numFmtId="0" fontId="22" fillId="2" borderId="0" xfId="0" applyFont="1" applyFill="1"/>
    <xf numFmtId="0" fontId="32" fillId="2" borderId="0" xfId="0" applyFont="1" applyFill="1" applyAlignment="1">
      <alignment vertical="center"/>
    </xf>
    <xf numFmtId="0" fontId="4" fillId="35" borderId="8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indent="1"/>
    </xf>
    <xf numFmtId="49" fontId="3" fillId="2" borderId="25" xfId="0" applyNumberFormat="1" applyFont="1" applyFill="1" applyBorder="1" applyAlignment="1">
      <alignment horizontal="left" indent="1"/>
    </xf>
    <xf numFmtId="0" fontId="4" fillId="16" borderId="8" xfId="0" applyFont="1" applyFill="1" applyBorder="1" applyAlignment="1">
      <alignment horizontal="left"/>
    </xf>
    <xf numFmtId="41" fontId="4" fillId="36" borderId="23" xfId="0" applyNumberFormat="1" applyFont="1" applyFill="1" applyBorder="1" applyAlignment="1"/>
    <xf numFmtId="41" fontId="4" fillId="36" borderId="8" xfId="0" applyNumberFormat="1" applyFont="1" applyFill="1" applyBorder="1" applyAlignment="1"/>
    <xf numFmtId="41" fontId="4" fillId="36" borderId="57" xfId="0" applyNumberFormat="1" applyFont="1" applyFill="1" applyBorder="1" applyAlignment="1"/>
    <xf numFmtId="41" fontId="4" fillId="36" borderId="9" xfId="0" applyNumberFormat="1" applyFont="1" applyFill="1" applyBorder="1" applyAlignment="1"/>
    <xf numFmtId="164" fontId="4" fillId="39" borderId="23" xfId="0" applyNumberFormat="1" applyFont="1" applyFill="1" applyBorder="1" applyAlignment="1"/>
    <xf numFmtId="164" fontId="7" fillId="36" borderId="23" xfId="1" applyNumberFormat="1" applyFont="1" applyFill="1" applyBorder="1" applyAlignment="1"/>
    <xf numFmtId="49" fontId="3" fillId="2" borderId="12" xfId="0" applyNumberFormat="1" applyFont="1" applyFill="1" applyBorder="1" applyAlignment="1">
      <alignment horizontal="left" indent="1"/>
    </xf>
    <xf numFmtId="41" fontId="3" fillId="3" borderId="25" xfId="0" applyNumberFormat="1" applyFont="1" applyFill="1" applyBorder="1" applyAlignment="1"/>
    <xf numFmtId="41" fontId="3" fillId="6" borderId="25" xfId="0" applyNumberFormat="1" applyFont="1" applyFill="1" applyBorder="1" applyAlignment="1"/>
    <xf numFmtId="41" fontId="3" fillId="11" borderId="25" xfId="0" applyNumberFormat="1" applyFont="1" applyFill="1" applyBorder="1" applyAlignment="1"/>
    <xf numFmtId="41" fontId="3" fillId="11" borderId="58" xfId="0" applyNumberFormat="1" applyFont="1" applyFill="1" applyBorder="1" applyAlignment="1"/>
    <xf numFmtId="41" fontId="3" fillId="11" borderId="14" xfId="0" applyNumberFormat="1" applyFont="1" applyFill="1" applyBorder="1" applyAlignment="1"/>
    <xf numFmtId="41" fontId="4" fillId="36" borderId="4" xfId="0" applyNumberFormat="1" applyFont="1" applyFill="1" applyBorder="1" applyAlignment="1"/>
    <xf numFmtId="41" fontId="4" fillId="36" borderId="2" xfId="0" applyNumberFormat="1" applyFont="1" applyFill="1" applyBorder="1" applyAlignment="1"/>
    <xf numFmtId="41" fontId="4" fillId="36" borderId="56" xfId="0" applyNumberFormat="1" applyFont="1" applyFill="1" applyBorder="1" applyAlignment="1"/>
    <xf numFmtId="41" fontId="4" fillId="36" borderId="12" xfId="0" applyNumberFormat="1" applyFont="1" applyFill="1" applyBorder="1" applyAlignment="1"/>
    <xf numFmtId="41" fontId="4" fillId="36" borderId="58" xfId="0" applyNumberFormat="1" applyFont="1" applyFill="1" applyBorder="1" applyAlignment="1"/>
    <xf numFmtId="41" fontId="4" fillId="12" borderId="14" xfId="0" applyNumberFormat="1" applyFont="1" applyFill="1" applyBorder="1" applyAlignment="1"/>
    <xf numFmtId="41" fontId="3" fillId="26" borderId="33" xfId="0" applyNumberFormat="1" applyFont="1" applyFill="1" applyBorder="1"/>
    <xf numFmtId="41" fontId="13" fillId="26" borderId="33" xfId="0" applyNumberFormat="1" applyFont="1" applyFill="1" applyBorder="1"/>
    <xf numFmtId="41" fontId="4" fillId="26" borderId="33" xfId="0" applyNumberFormat="1" applyFont="1" applyFill="1" applyBorder="1"/>
    <xf numFmtId="9" fontId="10" fillId="25" borderId="34" xfId="1" applyFont="1" applyFill="1" applyBorder="1" applyAlignment="1"/>
    <xf numFmtId="0" fontId="34" fillId="2" borderId="0" xfId="0" applyFont="1" applyFill="1"/>
    <xf numFmtId="0" fontId="12" fillId="2" borderId="0" xfId="0" applyFont="1" applyFill="1"/>
    <xf numFmtId="0" fontId="13" fillId="2" borderId="0" xfId="0" applyFont="1" applyFill="1"/>
    <xf numFmtId="41" fontId="3" fillId="26" borderId="35" xfId="0" applyNumberFormat="1" applyFont="1" applyFill="1" applyBorder="1"/>
    <xf numFmtId="41" fontId="13" fillId="26" borderId="35" xfId="0" applyNumberFormat="1" applyFont="1" applyFill="1" applyBorder="1"/>
    <xf numFmtId="41" fontId="4" fillId="26" borderId="35" xfId="0" applyNumberFormat="1" applyFont="1" applyFill="1" applyBorder="1"/>
    <xf numFmtId="41" fontId="4" fillId="37" borderId="23" xfId="0" applyNumberFormat="1" applyFont="1" applyFill="1" applyBorder="1" applyAlignment="1"/>
    <xf numFmtId="0" fontId="3" fillId="2" borderId="25" xfId="0" applyFont="1" applyFill="1" applyBorder="1" applyAlignment="1"/>
    <xf numFmtId="0" fontId="3" fillId="0" borderId="2" xfId="0" applyFont="1" applyFill="1" applyBorder="1" applyAlignment="1">
      <alignment horizontal="left" indent="1"/>
    </xf>
    <xf numFmtId="0" fontId="3" fillId="2" borderId="8" xfId="0" applyFont="1" applyFill="1" applyBorder="1" applyAlignment="1">
      <alignment horizontal="left" indent="1"/>
    </xf>
    <xf numFmtId="9" fontId="4" fillId="40" borderId="23" xfId="0" applyNumberFormat="1" applyFont="1" applyFill="1" applyBorder="1" applyAlignment="1"/>
    <xf numFmtId="9" fontId="7" fillId="12" borderId="23" xfId="1" applyNumberFormat="1" applyFont="1" applyFill="1" applyBorder="1" applyAlignment="1"/>
    <xf numFmtId="49" fontId="3" fillId="2" borderId="69" xfId="0" applyNumberFormat="1" applyFont="1" applyFill="1" applyBorder="1" applyAlignment="1">
      <alignment horizontal="left" indent="1"/>
    </xf>
    <xf numFmtId="9" fontId="4" fillId="36" borderId="23" xfId="1" applyFont="1" applyFill="1" applyBorder="1" applyAlignment="1"/>
    <xf numFmtId="9" fontId="4" fillId="35" borderId="23" xfId="1" applyFont="1" applyFill="1" applyBorder="1" applyAlignment="1"/>
    <xf numFmtId="41" fontId="3" fillId="3" borderId="25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left" indent="1"/>
    </xf>
    <xf numFmtId="0" fontId="3" fillId="0" borderId="4" xfId="0" applyFont="1" applyFill="1" applyBorder="1" applyAlignment="1">
      <alignment horizontal="left" indent="1"/>
    </xf>
    <xf numFmtId="49" fontId="3" fillId="2" borderId="69" xfId="0" applyNumberFormat="1" applyFont="1" applyFill="1" applyBorder="1" applyAlignment="1" applyProtection="1">
      <alignment horizontal="left" indent="1"/>
      <protection locked="0"/>
    </xf>
    <xf numFmtId="49" fontId="3" fillId="2" borderId="71" xfId="0" applyNumberFormat="1" applyFont="1" applyFill="1" applyBorder="1" applyAlignment="1" applyProtection="1">
      <alignment horizontal="left" indent="1"/>
      <protection locked="0"/>
    </xf>
    <xf numFmtId="41" fontId="3" fillId="45" borderId="72" xfId="0" applyNumberFormat="1" applyFont="1" applyFill="1" applyBorder="1" applyAlignment="1"/>
    <xf numFmtId="41" fontId="3" fillId="12" borderId="4" xfId="0" applyNumberFormat="1" applyFont="1" applyFill="1" applyBorder="1" applyAlignment="1"/>
    <xf numFmtId="0" fontId="1" fillId="3" borderId="27" xfId="0" applyFont="1" applyFill="1" applyBorder="1" applyAlignment="1">
      <alignment horizontal="center" wrapText="1"/>
    </xf>
    <xf numFmtId="41" fontId="3" fillId="44" borderId="72" xfId="0" applyNumberFormat="1" applyFont="1" applyFill="1" applyBorder="1" applyAlignment="1">
      <alignment horizontal="left"/>
    </xf>
    <xf numFmtId="41" fontId="3" fillId="12" borderId="3" xfId="0" applyNumberFormat="1" applyFont="1" applyFill="1" applyBorder="1" applyAlignment="1"/>
    <xf numFmtId="0" fontId="4" fillId="2" borderId="29" xfId="0" applyFont="1" applyFill="1" applyBorder="1" applyAlignment="1"/>
    <xf numFmtId="0" fontId="4" fillId="2" borderId="27" xfId="0" applyFont="1" applyFill="1" applyBorder="1" applyAlignment="1"/>
    <xf numFmtId="0" fontId="4" fillId="2" borderId="28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4" fillId="15" borderId="29" xfId="0" applyFont="1" applyFill="1" applyBorder="1" applyAlignment="1"/>
    <xf numFmtId="0" fontId="4" fillId="15" borderId="27" xfId="0" applyFont="1" applyFill="1" applyBorder="1" applyAlignment="1"/>
    <xf numFmtId="0" fontId="4" fillId="15" borderId="28" xfId="0" applyFont="1" applyFill="1" applyBorder="1" applyAlignment="1"/>
    <xf numFmtId="41" fontId="3" fillId="13" borderId="74" xfId="0" applyNumberFormat="1" applyFont="1" applyFill="1" applyBorder="1" applyAlignment="1"/>
    <xf numFmtId="41" fontId="3" fillId="13" borderId="72" xfId="0" applyNumberFormat="1" applyFont="1" applyFill="1" applyBorder="1" applyAlignment="1"/>
    <xf numFmtId="41" fontId="3" fillId="13" borderId="75" xfId="0" applyNumberFormat="1" applyFont="1" applyFill="1" applyBorder="1" applyAlignment="1"/>
    <xf numFmtId="41" fontId="4" fillId="36" borderId="72" xfId="0" applyNumberFormat="1" applyFont="1" applyFill="1" applyBorder="1" applyAlignment="1">
      <alignment horizontal="center"/>
    </xf>
    <xf numFmtId="41" fontId="4" fillId="35" borderId="76" xfId="0" applyNumberFormat="1" applyFont="1" applyFill="1" applyBorder="1" applyAlignment="1"/>
    <xf numFmtId="41" fontId="4" fillId="35" borderId="77" xfId="0" applyNumberFormat="1" applyFont="1" applyFill="1" applyBorder="1" applyAlignment="1"/>
    <xf numFmtId="41" fontId="4" fillId="17" borderId="78" xfId="0" applyNumberFormat="1" applyFont="1" applyFill="1" applyBorder="1" applyAlignment="1"/>
    <xf numFmtId="41" fontId="3" fillId="13" borderId="79" xfId="0" applyNumberFormat="1" applyFont="1" applyFill="1" applyBorder="1" applyAlignment="1"/>
    <xf numFmtId="41" fontId="4" fillId="21" borderId="78" xfId="0" applyNumberFormat="1" applyFont="1" applyFill="1" applyBorder="1" applyAlignment="1"/>
    <xf numFmtId="41" fontId="4" fillId="23" borderId="78" xfId="0" applyNumberFormat="1" applyFont="1" applyFill="1" applyBorder="1" applyAlignment="1"/>
    <xf numFmtId="41" fontId="3" fillId="13" borderId="77" xfId="0" applyNumberFormat="1" applyFont="1" applyFill="1" applyBorder="1" applyAlignment="1"/>
    <xf numFmtId="41" fontId="4" fillId="27" borderId="78" xfId="0" applyNumberFormat="1" applyFont="1" applyFill="1" applyBorder="1" applyAlignment="1"/>
    <xf numFmtId="165" fontId="4" fillId="31" borderId="78" xfId="2" applyNumberFormat="1" applyFont="1" applyFill="1" applyBorder="1" applyAlignment="1">
      <alignment horizontal="right"/>
    </xf>
    <xf numFmtId="41" fontId="4" fillId="32" borderId="78" xfId="0" applyNumberFormat="1" applyFont="1" applyFill="1" applyBorder="1" applyAlignment="1"/>
    <xf numFmtId="41" fontId="4" fillId="42" borderId="74" xfId="0" applyNumberFormat="1" applyFont="1" applyFill="1" applyBorder="1" applyAlignment="1"/>
    <xf numFmtId="41" fontId="3" fillId="11" borderId="75" xfId="0" applyNumberFormat="1" applyFont="1" applyFill="1" applyBorder="1" applyAlignment="1"/>
    <xf numFmtId="41" fontId="4" fillId="36" borderId="77" xfId="0" applyNumberFormat="1" applyFont="1" applyFill="1" applyBorder="1" applyAlignment="1"/>
    <xf numFmtId="41" fontId="3" fillId="11" borderId="72" xfId="0" applyNumberFormat="1" applyFont="1" applyFill="1" applyBorder="1" applyAlignment="1">
      <alignment horizontal="left"/>
    </xf>
    <xf numFmtId="41" fontId="4" fillId="43" borderId="75" xfId="0" applyNumberFormat="1" applyFont="1" applyFill="1" applyBorder="1" applyAlignment="1"/>
    <xf numFmtId="41" fontId="4" fillId="34" borderId="80" xfId="0" applyNumberFormat="1" applyFont="1" applyFill="1" applyBorder="1" applyAlignment="1"/>
    <xf numFmtId="165" fontId="3" fillId="13" borderId="72" xfId="2" applyNumberFormat="1" applyFont="1" applyFill="1" applyBorder="1" applyAlignment="1"/>
    <xf numFmtId="165" fontId="3" fillId="11" borderId="72" xfId="2" applyNumberFormat="1" applyFont="1" applyFill="1" applyBorder="1" applyAlignment="1"/>
    <xf numFmtId="41" fontId="3" fillId="11" borderId="74" xfId="0" applyNumberFormat="1" applyFont="1" applyFill="1" applyBorder="1" applyAlignment="1"/>
    <xf numFmtId="41" fontId="3" fillId="12" borderId="72" xfId="0" applyNumberFormat="1" applyFont="1" applyFill="1" applyBorder="1" applyAlignment="1"/>
    <xf numFmtId="165" fontId="3" fillId="13" borderId="0" xfId="2" applyNumberFormat="1" applyFont="1" applyFill="1" applyBorder="1" applyAlignment="1"/>
    <xf numFmtId="165" fontId="3" fillId="11" borderId="0" xfId="2" applyNumberFormat="1" applyFont="1" applyFill="1" applyBorder="1" applyAlignment="1"/>
    <xf numFmtId="41" fontId="3" fillId="12" borderId="75" xfId="0" applyNumberFormat="1" applyFont="1" applyFill="1" applyBorder="1" applyAlignment="1"/>
    <xf numFmtId="41" fontId="4" fillId="36" borderId="74" xfId="0" applyNumberFormat="1" applyFont="1" applyFill="1" applyBorder="1" applyAlignment="1">
      <alignment horizontal="right"/>
    </xf>
    <xf numFmtId="41" fontId="4" fillId="36" borderId="72" xfId="0" applyNumberFormat="1" applyFont="1" applyFill="1" applyBorder="1" applyAlignment="1">
      <alignment horizontal="right"/>
    </xf>
    <xf numFmtId="41" fontId="16" fillId="32" borderId="81" xfId="0" applyNumberFormat="1" applyFont="1" applyFill="1" applyBorder="1" applyAlignment="1"/>
    <xf numFmtId="41" fontId="3" fillId="17" borderId="2" xfId="0" applyNumberFormat="1" applyFont="1" applyFill="1" applyBorder="1" applyAlignment="1"/>
    <xf numFmtId="41" fontId="3" fillId="17" borderId="21" xfId="0" applyNumberFormat="1" applyFont="1" applyFill="1" applyBorder="1" applyAlignment="1"/>
    <xf numFmtId="41" fontId="3" fillId="17" borderId="5" xfId="0" applyNumberFormat="1" applyFont="1" applyFill="1" applyBorder="1" applyAlignment="1"/>
    <xf numFmtId="41" fontId="3" fillId="17" borderId="0" xfId="0" applyNumberFormat="1" applyFont="1" applyFill="1" applyBorder="1" applyAlignment="1"/>
    <xf numFmtId="41" fontId="3" fillId="24" borderId="5" xfId="0" applyNumberFormat="1" applyFont="1" applyFill="1" applyBorder="1" applyAlignment="1"/>
    <xf numFmtId="41" fontId="3" fillId="22" borderId="5" xfId="0" applyNumberFormat="1" applyFont="1" applyFill="1" applyBorder="1" applyAlignment="1"/>
    <xf numFmtId="41" fontId="3" fillId="24" borderId="0" xfId="0" applyNumberFormat="1" applyFont="1" applyFill="1" applyBorder="1" applyAlignment="1"/>
    <xf numFmtId="41" fontId="3" fillId="28" borderId="1" xfId="0" applyNumberFormat="1" applyFont="1" applyFill="1" applyBorder="1" applyAlignment="1"/>
    <xf numFmtId="41" fontId="3" fillId="28" borderId="0" xfId="0" applyNumberFormat="1" applyFont="1" applyFill="1" applyBorder="1" applyAlignment="1"/>
    <xf numFmtId="0" fontId="30" fillId="0" borderId="11" xfId="0" applyFont="1" applyFill="1" applyBorder="1" applyAlignment="1">
      <alignment horizontal="left" indent="1"/>
    </xf>
    <xf numFmtId="9" fontId="4" fillId="47" borderId="7" xfId="1" applyFont="1" applyFill="1" applyBorder="1" applyAlignment="1"/>
    <xf numFmtId="0" fontId="4" fillId="36" borderId="2" xfId="0" applyFont="1" applyFill="1" applyBorder="1" applyAlignment="1">
      <alignment horizontal="left" indent="1"/>
    </xf>
    <xf numFmtId="41" fontId="4" fillId="46" borderId="74" xfId="0" applyNumberFormat="1" applyFont="1" applyFill="1" applyBorder="1" applyAlignment="1">
      <alignment horizontal="right"/>
    </xf>
    <xf numFmtId="9" fontId="4" fillId="40" borderId="4" xfId="1" applyFont="1" applyFill="1" applyBorder="1" applyAlignment="1"/>
    <xf numFmtId="0" fontId="4" fillId="36" borderId="85" xfId="0" applyFont="1" applyFill="1" applyBorder="1" applyAlignment="1">
      <alignment horizontal="left" indent="1"/>
    </xf>
    <xf numFmtId="41" fontId="4" fillId="36" borderId="84" xfId="0" applyNumberFormat="1" applyFont="1" applyFill="1" applyBorder="1" applyAlignment="1">
      <alignment horizontal="right"/>
    </xf>
    <xf numFmtId="41" fontId="4" fillId="36" borderId="85" xfId="0" applyNumberFormat="1" applyFont="1" applyFill="1" applyBorder="1" applyAlignment="1">
      <alignment horizontal="right"/>
    </xf>
    <xf numFmtId="41" fontId="4" fillId="36" borderId="86" xfId="0" applyNumberFormat="1" applyFont="1" applyFill="1" applyBorder="1" applyAlignment="1">
      <alignment horizontal="right"/>
    </xf>
    <xf numFmtId="41" fontId="4" fillId="46" borderId="87" xfId="0" applyNumberFormat="1" applyFont="1" applyFill="1" applyBorder="1" applyAlignment="1">
      <alignment horizontal="right"/>
    </xf>
    <xf numFmtId="41" fontId="4" fillId="19" borderId="88" xfId="0" applyNumberFormat="1" applyFont="1" applyFill="1" applyBorder="1" applyAlignment="1">
      <alignment horizontal="right"/>
    </xf>
    <xf numFmtId="41" fontId="4" fillId="19" borderId="84" xfId="0" applyNumberFormat="1" applyFont="1" applyFill="1" applyBorder="1" applyAlignment="1">
      <alignment horizontal="right"/>
    </xf>
    <xf numFmtId="41" fontId="4" fillId="19" borderId="85" xfId="0" applyNumberFormat="1" applyFont="1" applyFill="1" applyBorder="1" applyAlignment="1">
      <alignment horizontal="right"/>
    </xf>
    <xf numFmtId="41" fontId="4" fillId="19" borderId="83" xfId="0" applyNumberFormat="1" applyFont="1" applyFill="1" applyBorder="1" applyAlignment="1">
      <alignment horizontal="right"/>
    </xf>
    <xf numFmtId="9" fontId="4" fillId="36" borderId="84" xfId="1" applyFont="1" applyFill="1" applyBorder="1" applyAlignment="1">
      <alignment horizontal="right"/>
    </xf>
    <xf numFmtId="9" fontId="4" fillId="40" borderId="84" xfId="1" applyFont="1" applyFill="1" applyBorder="1" applyAlignment="1"/>
    <xf numFmtId="41" fontId="4" fillId="37" borderId="84" xfId="0" applyNumberFormat="1" applyFont="1" applyFill="1" applyBorder="1" applyAlignment="1">
      <alignment horizontal="right"/>
    </xf>
    <xf numFmtId="0" fontId="4" fillId="32" borderId="85" xfId="0" applyFont="1" applyFill="1" applyBorder="1" applyAlignment="1">
      <alignment horizontal="left" indent="3"/>
    </xf>
    <xf numFmtId="41" fontId="4" fillId="32" borderId="84" xfId="0" applyNumberFormat="1" applyFont="1" applyFill="1" applyBorder="1" applyAlignment="1">
      <alignment horizontal="right"/>
    </xf>
    <xf numFmtId="41" fontId="4" fillId="32" borderId="85" xfId="0" applyNumberFormat="1" applyFont="1" applyFill="1" applyBorder="1" applyAlignment="1">
      <alignment horizontal="right"/>
    </xf>
    <xf numFmtId="41" fontId="4" fillId="32" borderId="86" xfId="0" applyNumberFormat="1" applyFont="1" applyFill="1" applyBorder="1" applyAlignment="1">
      <alignment horizontal="right"/>
    </xf>
    <xf numFmtId="41" fontId="4" fillId="48" borderId="87" xfId="0" applyNumberFormat="1" applyFont="1" applyFill="1" applyBorder="1" applyAlignment="1">
      <alignment horizontal="right"/>
    </xf>
    <xf numFmtId="41" fontId="4" fillId="32" borderId="88" xfId="0" applyNumberFormat="1" applyFont="1" applyFill="1" applyBorder="1" applyAlignment="1">
      <alignment horizontal="right"/>
    </xf>
    <xf numFmtId="0" fontId="18" fillId="3" borderId="51" xfId="0" applyFont="1" applyFill="1" applyBorder="1" applyAlignment="1"/>
    <xf numFmtId="9" fontId="4" fillId="29" borderId="25" xfId="1" applyFont="1" applyFill="1" applyBorder="1" applyAlignment="1"/>
    <xf numFmtId="9" fontId="4" fillId="29" borderId="13" xfId="1" applyFont="1" applyFill="1" applyBorder="1" applyAlignment="1"/>
    <xf numFmtId="9" fontId="4" fillId="29" borderId="82" xfId="1" applyFont="1" applyFill="1" applyBorder="1" applyAlignment="1"/>
    <xf numFmtId="9" fontId="4" fillId="29" borderId="5" xfId="1" applyFont="1" applyFill="1" applyBorder="1" applyAlignment="1"/>
    <xf numFmtId="41" fontId="4" fillId="26" borderId="3" xfId="0" applyNumberFormat="1" applyFont="1" applyFill="1" applyBorder="1" applyAlignment="1"/>
    <xf numFmtId="41" fontId="4" fillId="26" borderId="21" xfId="0" applyNumberFormat="1" applyFont="1" applyFill="1" applyBorder="1" applyAlignment="1"/>
    <xf numFmtId="41" fontId="4" fillId="30" borderId="33" xfId="0" applyNumberFormat="1" applyFont="1" applyFill="1" applyBorder="1" applyAlignment="1"/>
    <xf numFmtId="41" fontId="3" fillId="0" borderId="0" xfId="0" applyNumberFormat="1" applyFont="1" applyFill="1" applyBorder="1" applyAlignment="1"/>
    <xf numFmtId="41" fontId="3" fillId="17" borderId="3" xfId="0" applyNumberFormat="1" applyFont="1" applyFill="1" applyBorder="1" applyAlignment="1"/>
    <xf numFmtId="9" fontId="4" fillId="29" borderId="0" xfId="1" applyFont="1" applyFill="1" applyBorder="1" applyAlignment="1"/>
    <xf numFmtId="41" fontId="3" fillId="22" borderId="0" xfId="0" applyNumberFormat="1" applyFont="1" applyFill="1" applyBorder="1" applyAlignment="1"/>
    <xf numFmtId="41" fontId="3" fillId="22" borderId="13" xfId="0" applyNumberFormat="1" applyFont="1" applyFill="1" applyBorder="1" applyAlignment="1"/>
    <xf numFmtId="0" fontId="3" fillId="0" borderId="24" xfId="0" applyFont="1" applyFill="1" applyBorder="1" applyAlignment="1">
      <alignment horizontal="left" indent="1"/>
    </xf>
    <xf numFmtId="9" fontId="4" fillId="29" borderId="11" xfId="1" applyFont="1" applyFill="1" applyBorder="1" applyAlignment="1"/>
    <xf numFmtId="41" fontId="4" fillId="17" borderId="5" xfId="0" applyNumberFormat="1" applyFont="1" applyFill="1" applyBorder="1" applyAlignment="1"/>
    <xf numFmtId="41" fontId="4" fillId="17" borderId="11" xfId="0" applyNumberFormat="1" applyFont="1" applyFill="1" applyBorder="1" applyAlignment="1"/>
    <xf numFmtId="41" fontId="3" fillId="17" borderId="11" xfId="0" applyNumberFormat="1" applyFont="1" applyFill="1" applyBorder="1" applyAlignment="1">
      <alignment horizontal="left"/>
    </xf>
    <xf numFmtId="41" fontId="3" fillId="17" borderId="5" xfId="0" applyNumberFormat="1" applyFont="1" applyFill="1" applyBorder="1" applyAlignment="1">
      <alignment horizontal="left"/>
    </xf>
    <xf numFmtId="41" fontId="3" fillId="17" borderId="1" xfId="0" applyNumberFormat="1" applyFont="1" applyFill="1" applyBorder="1" applyAlignment="1">
      <alignment horizontal="left"/>
    </xf>
    <xf numFmtId="41" fontId="3" fillId="17" borderId="0" xfId="0" applyNumberFormat="1" applyFont="1" applyFill="1" applyBorder="1" applyAlignment="1">
      <alignment horizontal="left"/>
    </xf>
    <xf numFmtId="0" fontId="22" fillId="2" borderId="68" xfId="0" applyFont="1" applyFill="1" applyBorder="1"/>
    <xf numFmtId="0" fontId="29" fillId="2" borderId="63" xfId="0" applyFont="1" applyFill="1" applyBorder="1" applyAlignment="1">
      <alignment vertical="center"/>
    </xf>
    <xf numFmtId="0" fontId="30" fillId="2" borderId="63" xfId="0" applyFont="1" applyFill="1" applyBorder="1" applyAlignment="1">
      <alignment vertical="center"/>
    </xf>
    <xf numFmtId="0" fontId="31" fillId="2" borderId="63" xfId="0" applyFont="1" applyFill="1" applyBorder="1" applyAlignment="1">
      <alignment vertical="center"/>
    </xf>
    <xf numFmtId="0" fontId="6" fillId="2" borderId="63" xfId="0" applyFont="1" applyFill="1" applyBorder="1"/>
    <xf numFmtId="0" fontId="31" fillId="2" borderId="47" xfId="0" applyFont="1" applyFill="1" applyBorder="1" applyAlignment="1">
      <alignment vertical="center"/>
    </xf>
    <xf numFmtId="0" fontId="25" fillId="2" borderId="51" xfId="0" applyFont="1" applyFill="1" applyBorder="1" applyAlignment="1"/>
    <xf numFmtId="0" fontId="1" fillId="3" borderId="10" xfId="0" applyFont="1" applyFill="1" applyBorder="1" applyAlignment="1"/>
    <xf numFmtId="0" fontId="30" fillId="2" borderId="10" xfId="0" applyFont="1" applyFill="1" applyBorder="1" applyAlignment="1">
      <alignment vertical="center"/>
    </xf>
    <xf numFmtId="0" fontId="31" fillId="2" borderId="10" xfId="0" applyFont="1" applyFill="1" applyBorder="1" applyAlignment="1">
      <alignment vertical="center"/>
    </xf>
    <xf numFmtId="0" fontId="6" fillId="2" borderId="10" xfId="0" applyFont="1" applyFill="1" applyBorder="1"/>
    <xf numFmtId="0" fontId="31" fillId="2" borderId="52" xfId="0" applyFont="1" applyFill="1" applyBorder="1" applyAlignment="1">
      <alignment vertical="center"/>
    </xf>
    <xf numFmtId="0" fontId="4" fillId="23" borderId="41" xfId="0" applyFont="1" applyFill="1" applyBorder="1" applyAlignment="1">
      <alignment horizontal="left"/>
    </xf>
    <xf numFmtId="41" fontId="4" fillId="23" borderId="66" xfId="0" applyNumberFormat="1" applyFont="1" applyFill="1" applyBorder="1" applyAlignment="1"/>
    <xf numFmtId="41" fontId="4" fillId="23" borderId="41" xfId="0" applyNumberFormat="1" applyFont="1" applyFill="1" applyBorder="1" applyAlignment="1"/>
    <xf numFmtId="41" fontId="4" fillId="23" borderId="65" xfId="0" applyNumberFormat="1" applyFont="1" applyFill="1" applyBorder="1" applyAlignment="1"/>
    <xf numFmtId="41" fontId="4" fillId="23" borderId="80" xfId="0" applyNumberFormat="1" applyFont="1" applyFill="1" applyBorder="1" applyAlignment="1"/>
    <xf numFmtId="41" fontId="4" fillId="23" borderId="67" xfId="0" applyNumberFormat="1" applyFont="1" applyFill="1" applyBorder="1" applyAlignment="1"/>
    <xf numFmtId="0" fontId="4" fillId="21" borderId="90" xfId="0" applyFont="1" applyFill="1" applyBorder="1" applyAlignment="1">
      <alignment horizontal="left"/>
    </xf>
    <xf numFmtId="41" fontId="4" fillId="21" borderId="91" xfId="0" applyNumberFormat="1" applyFont="1" applyFill="1" applyBorder="1" applyAlignment="1"/>
    <xf numFmtId="41" fontId="4" fillId="21" borderId="90" xfId="0" applyNumberFormat="1" applyFont="1" applyFill="1" applyBorder="1" applyAlignment="1"/>
    <xf numFmtId="41" fontId="4" fillId="21" borderId="92" xfId="0" applyNumberFormat="1" applyFont="1" applyFill="1" applyBorder="1" applyAlignment="1"/>
    <xf numFmtId="41" fontId="4" fillId="21" borderId="93" xfId="0" applyNumberFormat="1" applyFont="1" applyFill="1" applyBorder="1" applyAlignment="1"/>
    <xf numFmtId="41" fontId="4" fillId="21" borderId="94" xfId="0" applyNumberFormat="1" applyFont="1" applyFill="1" applyBorder="1" applyAlignment="1"/>
    <xf numFmtId="9" fontId="4" fillId="21" borderId="91" xfId="1" applyFont="1" applyFill="1" applyBorder="1" applyAlignment="1"/>
    <xf numFmtId="41" fontId="3" fillId="2" borderId="73" xfId="0" applyNumberFormat="1" applyFont="1" applyFill="1" applyBorder="1" applyAlignment="1"/>
    <xf numFmtId="41" fontId="3" fillId="3" borderId="73" xfId="0" applyNumberFormat="1" applyFont="1" applyFill="1" applyBorder="1" applyAlignment="1"/>
    <xf numFmtId="41" fontId="3" fillId="0" borderId="73" xfId="0" applyNumberFormat="1" applyFont="1" applyFill="1" applyBorder="1" applyAlignment="1"/>
    <xf numFmtId="41" fontId="3" fillId="6" borderId="73" xfId="0" applyNumberFormat="1" applyFont="1" applyFill="1" applyBorder="1" applyAlignment="1"/>
    <xf numFmtId="41" fontId="3" fillId="0" borderId="95" xfId="0" applyNumberFormat="1" applyFont="1" applyFill="1" applyBorder="1" applyAlignment="1"/>
    <xf numFmtId="41" fontId="3" fillId="11" borderId="73" xfId="0" applyNumberFormat="1" applyFont="1" applyFill="1" applyBorder="1" applyAlignment="1"/>
    <xf numFmtId="164" fontId="4" fillId="40" borderId="73" xfId="0" applyNumberFormat="1" applyFont="1" applyFill="1" applyBorder="1" applyAlignment="1"/>
    <xf numFmtId="164" fontId="7" fillId="12" borderId="73" xfId="1" applyNumberFormat="1" applyFont="1" applyFill="1" applyBorder="1" applyAlignment="1"/>
    <xf numFmtId="41" fontId="4" fillId="37" borderId="73" xfId="0" applyNumberFormat="1" applyFont="1" applyFill="1" applyBorder="1" applyAlignment="1"/>
    <xf numFmtId="41" fontId="4" fillId="12" borderId="72" xfId="0" applyNumberFormat="1" applyFont="1" applyFill="1" applyBorder="1" applyAlignment="1"/>
    <xf numFmtId="41" fontId="4" fillId="12" borderId="5" xfId="0" applyNumberFormat="1" applyFont="1" applyFill="1" applyBorder="1" applyAlignment="1"/>
    <xf numFmtId="41" fontId="4" fillId="12" borderId="11" xfId="0" applyNumberFormat="1" applyFont="1" applyFill="1" applyBorder="1" applyAlignment="1"/>
    <xf numFmtId="0" fontId="4" fillId="29" borderId="66" xfId="0" applyFont="1" applyFill="1" applyBorder="1" applyAlignment="1">
      <alignment horizontal="left"/>
    </xf>
    <xf numFmtId="41" fontId="4" fillId="30" borderId="66" xfId="0" applyNumberFormat="1" applyFont="1" applyFill="1" applyBorder="1" applyAlignment="1"/>
    <xf numFmtId="41" fontId="4" fillId="30" borderId="41" xfId="0" applyNumberFormat="1" applyFont="1" applyFill="1" applyBorder="1" applyAlignment="1"/>
    <xf numFmtId="41" fontId="4" fillId="30" borderId="65" xfId="0" applyNumberFormat="1" applyFont="1" applyFill="1" applyBorder="1" applyAlignment="1"/>
    <xf numFmtId="41" fontId="4" fillId="30" borderId="80" xfId="0" applyNumberFormat="1" applyFont="1" applyFill="1" applyBorder="1" applyAlignment="1"/>
    <xf numFmtId="41" fontId="4" fillId="30" borderId="67" xfId="0" applyNumberFormat="1" applyFont="1" applyFill="1" applyBorder="1" applyAlignment="1"/>
    <xf numFmtId="9" fontId="4" fillId="30" borderId="66" xfId="1" applyFont="1" applyFill="1" applyBorder="1" applyAlignment="1"/>
    <xf numFmtId="0" fontId="4" fillId="25" borderId="85" xfId="0" applyFont="1" applyFill="1" applyBorder="1" applyAlignment="1">
      <alignment horizontal="left"/>
    </xf>
    <xf numFmtId="41" fontId="4" fillId="26" borderId="91" xfId="0" applyNumberFormat="1" applyFont="1" applyFill="1" applyBorder="1" applyAlignment="1"/>
    <xf numFmtId="41" fontId="7" fillId="26" borderId="91" xfId="0" applyNumberFormat="1" applyFont="1" applyFill="1" applyBorder="1" applyAlignment="1"/>
    <xf numFmtId="41" fontId="4" fillId="26" borderId="90" xfId="0" applyNumberFormat="1" applyFont="1" applyFill="1" applyBorder="1" applyAlignment="1"/>
    <xf numFmtId="41" fontId="4" fillId="26" borderId="92" xfId="0" applyNumberFormat="1" applyFont="1" applyFill="1" applyBorder="1" applyAlignment="1"/>
    <xf numFmtId="41" fontId="4" fillId="26" borderId="93" xfId="0" applyNumberFormat="1" applyFont="1" applyFill="1" applyBorder="1" applyAlignment="1"/>
    <xf numFmtId="41" fontId="4" fillId="26" borderId="94" xfId="0" applyNumberFormat="1" applyFont="1" applyFill="1" applyBorder="1" applyAlignment="1"/>
    <xf numFmtId="165" fontId="4" fillId="25" borderId="91" xfId="2" applyNumberFormat="1" applyFont="1" applyFill="1" applyBorder="1" applyAlignment="1"/>
    <xf numFmtId="9" fontId="4" fillId="25" borderId="91" xfId="1" applyFont="1" applyFill="1" applyBorder="1" applyAlignment="1"/>
    <xf numFmtId="0" fontId="13" fillId="0" borderId="95" xfId="5" applyFont="1" applyBorder="1" applyAlignment="1">
      <alignment horizontal="left" indent="1"/>
    </xf>
    <xf numFmtId="41" fontId="4" fillId="11" borderId="73" xfId="0" applyNumberFormat="1" applyFont="1" applyFill="1" applyBorder="1" applyAlignment="1"/>
    <xf numFmtId="41" fontId="3" fillId="11" borderId="95" xfId="0" applyNumberFormat="1" applyFont="1" applyFill="1" applyBorder="1" applyAlignment="1"/>
    <xf numFmtId="9" fontId="4" fillId="40" borderId="73" xfId="0" applyNumberFormat="1" applyFont="1" applyFill="1" applyBorder="1" applyAlignment="1"/>
    <xf numFmtId="9" fontId="7" fillId="12" borderId="73" xfId="1" applyNumberFormat="1" applyFont="1" applyFill="1" applyBorder="1" applyAlignment="1"/>
    <xf numFmtId="0" fontId="3" fillId="3" borderId="25" xfId="0" applyFont="1" applyFill="1" applyBorder="1" applyAlignment="1"/>
    <xf numFmtId="0" fontId="3" fillId="2" borderId="26" xfId="0" applyFont="1" applyFill="1" applyBorder="1" applyAlignment="1">
      <alignment horizontal="left" indent="1"/>
    </xf>
    <xf numFmtId="41" fontId="3" fillId="13" borderId="96" xfId="0" applyNumberFormat="1" applyFont="1" applyFill="1" applyBorder="1" applyAlignment="1"/>
    <xf numFmtId="41" fontId="3" fillId="13" borderId="15" xfId="0" applyNumberFormat="1" applyFont="1" applyFill="1" applyBorder="1" applyAlignment="1"/>
    <xf numFmtId="41" fontId="3" fillId="17" borderId="15" xfId="0" applyNumberFormat="1" applyFont="1" applyFill="1" applyBorder="1" applyAlignment="1"/>
    <xf numFmtId="41" fontId="3" fillId="13" borderId="97" xfId="0" applyNumberFormat="1" applyFont="1" applyFill="1" applyBorder="1" applyAlignment="1"/>
    <xf numFmtId="41" fontId="3" fillId="13" borderId="98" xfId="0" applyNumberFormat="1" applyFont="1" applyFill="1" applyBorder="1" applyAlignment="1"/>
    <xf numFmtId="41" fontId="4" fillId="36" borderId="15" xfId="0" applyNumberFormat="1" applyFont="1" applyFill="1" applyBorder="1" applyAlignment="1">
      <alignment horizontal="center"/>
    </xf>
    <xf numFmtId="41" fontId="4" fillId="35" borderId="99" xfId="0" applyNumberFormat="1" applyFont="1" applyFill="1" applyBorder="1" applyAlignment="1"/>
    <xf numFmtId="41" fontId="4" fillId="35" borderId="18" xfId="0" applyNumberFormat="1" applyFont="1" applyFill="1" applyBorder="1" applyAlignment="1"/>
    <xf numFmtId="41" fontId="4" fillId="17" borderId="100" xfId="0" applyNumberFormat="1" applyFont="1" applyFill="1" applyBorder="1" applyAlignment="1"/>
    <xf numFmtId="41" fontId="4" fillId="21" borderId="100" xfId="0" applyNumberFormat="1" applyFont="1" applyFill="1" applyBorder="1" applyAlignment="1"/>
    <xf numFmtId="41" fontId="3" fillId="24" borderId="15" xfId="0" applyNumberFormat="1" applyFont="1" applyFill="1" applyBorder="1" applyAlignment="1"/>
    <xf numFmtId="41" fontId="3" fillId="22" borderId="15" xfId="0" applyNumberFormat="1" applyFont="1" applyFill="1" applyBorder="1" applyAlignment="1"/>
    <xf numFmtId="41" fontId="3" fillId="24" borderId="98" xfId="0" applyNumberFormat="1" applyFont="1" applyFill="1" applyBorder="1" applyAlignment="1"/>
    <xf numFmtId="41" fontId="3" fillId="22" borderId="18" xfId="0" applyNumberFormat="1" applyFont="1" applyFill="1" applyBorder="1" applyAlignment="1"/>
    <xf numFmtId="41" fontId="4" fillId="23" borderId="100" xfId="0" applyNumberFormat="1" applyFont="1" applyFill="1" applyBorder="1" applyAlignment="1"/>
    <xf numFmtId="41" fontId="3" fillId="25" borderId="15" xfId="0" applyNumberFormat="1" applyFont="1" applyFill="1" applyBorder="1" applyAlignment="1"/>
    <xf numFmtId="41" fontId="3" fillId="13" borderId="18" xfId="0" applyNumberFormat="1" applyFont="1" applyFill="1" applyBorder="1" applyAlignment="1"/>
    <xf numFmtId="41" fontId="4" fillId="27" borderId="100" xfId="0" applyNumberFormat="1" applyFont="1" applyFill="1" applyBorder="1" applyAlignment="1"/>
    <xf numFmtId="9" fontId="4" fillId="29" borderId="98" xfId="1" applyFont="1" applyFill="1" applyBorder="1" applyAlignment="1"/>
    <xf numFmtId="9" fontId="4" fillId="29" borderId="15" xfId="1" applyFont="1" applyFill="1" applyBorder="1" applyAlignment="1"/>
    <xf numFmtId="165" fontId="4" fillId="31" borderId="100" xfId="2" applyNumberFormat="1" applyFont="1" applyFill="1" applyBorder="1" applyAlignment="1">
      <alignment horizontal="right"/>
    </xf>
    <xf numFmtId="41" fontId="4" fillId="32" borderId="100" xfId="0" applyNumberFormat="1" applyFont="1" applyFill="1" applyBorder="1" applyAlignment="1"/>
    <xf numFmtId="0" fontId="4" fillId="12" borderId="96" xfId="0" applyFont="1" applyFill="1" applyBorder="1" applyAlignment="1">
      <alignment horizontal="center"/>
    </xf>
    <xf numFmtId="49" fontId="4" fillId="12" borderId="18" xfId="0" quotePrefix="1" applyNumberFormat="1" applyFont="1" applyFill="1" applyBorder="1" applyAlignment="1">
      <alignment horizontal="center"/>
    </xf>
    <xf numFmtId="41" fontId="3" fillId="17" borderId="96" xfId="0" applyNumberFormat="1" applyFont="1" applyFill="1" applyBorder="1" applyAlignment="1"/>
    <xf numFmtId="41" fontId="3" fillId="11" borderId="98" xfId="0" applyNumberFormat="1" applyFont="1" applyFill="1" applyBorder="1" applyAlignment="1"/>
    <xf numFmtId="41" fontId="4" fillId="36" borderId="18" xfId="0" applyNumberFormat="1" applyFont="1" applyFill="1" applyBorder="1" applyAlignment="1"/>
    <xf numFmtId="41" fontId="3" fillId="11" borderId="96" xfId="0" applyNumberFormat="1" applyFont="1" applyFill="1" applyBorder="1" applyAlignment="1"/>
    <xf numFmtId="41" fontId="3" fillId="17" borderId="15" xfId="0" applyNumberFormat="1" applyFont="1" applyFill="1" applyBorder="1" applyAlignment="1">
      <alignment horizontal="left"/>
    </xf>
    <xf numFmtId="41" fontId="3" fillId="11" borderId="15" xfId="0" applyNumberFormat="1" applyFont="1" applyFill="1" applyBorder="1" applyAlignment="1">
      <alignment horizontal="left"/>
    </xf>
    <xf numFmtId="41" fontId="3" fillId="17" borderId="96" xfId="0" applyNumberFormat="1" applyFont="1" applyFill="1" applyBorder="1" applyAlignment="1">
      <alignment horizontal="left"/>
    </xf>
    <xf numFmtId="41" fontId="3" fillId="12" borderId="98" xfId="0" applyNumberFormat="1" applyFont="1" applyFill="1" applyBorder="1" applyAlignment="1"/>
    <xf numFmtId="41" fontId="4" fillId="34" borderId="101" xfId="0" applyNumberFormat="1" applyFont="1" applyFill="1" applyBorder="1" applyAlignment="1"/>
    <xf numFmtId="165" fontId="3" fillId="13" borderId="96" xfId="2" applyNumberFormat="1" applyFont="1" applyFill="1" applyBorder="1" applyAlignment="1"/>
    <xf numFmtId="165" fontId="3" fillId="11" borderId="15" xfId="2" applyNumberFormat="1" applyFont="1" applyFill="1" applyBorder="1" applyAlignment="1"/>
    <xf numFmtId="165" fontId="3" fillId="13" borderId="15" xfId="2" applyNumberFormat="1" applyFont="1" applyFill="1" applyBorder="1" applyAlignment="1"/>
    <xf numFmtId="41" fontId="4" fillId="21" borderId="102" xfId="0" applyNumberFormat="1" applyFont="1" applyFill="1" applyBorder="1" applyAlignment="1"/>
    <xf numFmtId="41" fontId="4" fillId="23" borderId="101" xfId="0" applyNumberFormat="1" applyFont="1" applyFill="1" applyBorder="1" applyAlignment="1"/>
    <xf numFmtId="41" fontId="4" fillId="26" borderId="96" xfId="0" applyNumberFormat="1" applyFont="1" applyFill="1" applyBorder="1" applyAlignment="1"/>
    <xf numFmtId="41" fontId="4" fillId="12" borderId="15" xfId="0" applyNumberFormat="1" applyFont="1" applyFill="1" applyBorder="1" applyAlignment="1"/>
    <xf numFmtId="41" fontId="4" fillId="26" borderId="102" xfId="0" applyNumberFormat="1" applyFont="1" applyFill="1" applyBorder="1" applyAlignment="1"/>
    <xf numFmtId="9" fontId="4" fillId="29" borderId="96" xfId="1" applyFont="1" applyFill="1" applyBorder="1" applyAlignment="1"/>
    <xf numFmtId="41" fontId="3" fillId="12" borderId="15" xfId="0" applyNumberFormat="1" applyFont="1" applyFill="1" applyBorder="1" applyAlignment="1"/>
    <xf numFmtId="41" fontId="4" fillId="30" borderId="101" xfId="0" applyNumberFormat="1" applyFont="1" applyFill="1" applyBorder="1" applyAlignment="1"/>
    <xf numFmtId="41" fontId="4" fillId="36" borderId="96" xfId="0" applyNumberFormat="1" applyFont="1" applyFill="1" applyBorder="1" applyAlignment="1">
      <alignment horizontal="right"/>
    </xf>
    <xf numFmtId="41" fontId="4" fillId="36" borderId="15" xfId="0" applyNumberFormat="1" applyFont="1" applyFill="1" applyBorder="1" applyAlignment="1">
      <alignment horizontal="right"/>
    </xf>
    <xf numFmtId="41" fontId="16" fillId="32" borderId="103" xfId="0" applyNumberFormat="1" applyFont="1" applyFill="1" applyBorder="1" applyAlignment="1"/>
    <xf numFmtId="41" fontId="4" fillId="14" borderId="96" xfId="0" applyNumberFormat="1" applyFont="1" applyFill="1" applyBorder="1" applyAlignment="1">
      <alignment horizontal="right"/>
    </xf>
    <xf numFmtId="41" fontId="4" fillId="19" borderId="104" xfId="0" applyNumberFormat="1" applyFont="1" applyFill="1" applyBorder="1" applyAlignment="1">
      <alignment horizontal="right"/>
    </xf>
    <xf numFmtId="41" fontId="4" fillId="32" borderId="104" xfId="0" applyNumberFormat="1" applyFont="1" applyFill="1" applyBorder="1" applyAlignment="1">
      <alignment horizontal="right"/>
    </xf>
    <xf numFmtId="41" fontId="4" fillId="17" borderId="21" xfId="0" applyNumberFormat="1" applyFont="1" applyFill="1" applyBorder="1" applyAlignment="1"/>
    <xf numFmtId="41" fontId="4" fillId="9" borderId="26" xfId="0" applyNumberFormat="1" applyFont="1" applyFill="1" applyBorder="1" applyAlignment="1"/>
    <xf numFmtId="41" fontId="4" fillId="9" borderId="12" xfId="0" applyNumberFormat="1" applyFont="1" applyFill="1" applyBorder="1" applyAlignment="1"/>
    <xf numFmtId="41" fontId="4" fillId="14" borderId="1" xfId="0" applyNumberFormat="1" applyFont="1" applyFill="1" applyBorder="1" applyAlignment="1">
      <alignment horizontal="center"/>
    </xf>
    <xf numFmtId="41" fontId="4" fillId="9" borderId="29" xfId="0" applyNumberFormat="1" applyFont="1" applyFill="1" applyBorder="1" applyAlignment="1"/>
    <xf numFmtId="41" fontId="4" fillId="9" borderId="8" xfId="0" applyNumberFormat="1" applyFont="1" applyFill="1" applyBorder="1" applyAlignment="1"/>
    <xf numFmtId="41" fontId="4" fillId="9" borderId="95" xfId="0" applyNumberFormat="1" applyFont="1" applyFill="1" applyBorder="1" applyAlignment="1"/>
    <xf numFmtId="41" fontId="4" fillId="28" borderId="0" xfId="0" applyNumberFormat="1" applyFont="1" applyFill="1" applyBorder="1" applyAlignment="1"/>
    <xf numFmtId="41" fontId="4" fillId="8" borderId="12" xfId="0" applyNumberFormat="1" applyFont="1" applyFill="1" applyBorder="1" applyAlignment="1"/>
    <xf numFmtId="41" fontId="4" fillId="14" borderId="8" xfId="0" applyNumberFormat="1" applyFont="1" applyFill="1" applyBorder="1" applyAlignment="1"/>
    <xf numFmtId="41" fontId="4" fillId="10" borderId="95" xfId="0" applyNumberFormat="1" applyFont="1" applyFill="1" applyBorder="1" applyAlignment="1"/>
    <xf numFmtId="41" fontId="4" fillId="10" borderId="1" xfId="0" applyNumberFormat="1" applyFont="1" applyFill="1" applyBorder="1" applyAlignment="1">
      <alignment horizontal="left"/>
    </xf>
    <xf numFmtId="41" fontId="4" fillId="14" borderId="95" xfId="0" applyNumberFormat="1" applyFont="1" applyFill="1" applyBorder="1" applyAlignment="1"/>
    <xf numFmtId="41" fontId="4" fillId="14" borderId="12" xfId="0" applyNumberFormat="1" applyFont="1" applyFill="1" applyBorder="1" applyAlignment="1"/>
    <xf numFmtId="41" fontId="4" fillId="35" borderId="8" xfId="0" applyNumberFormat="1" applyFont="1" applyFill="1" applyBorder="1" applyAlignment="1"/>
    <xf numFmtId="41" fontId="4" fillId="8" borderId="95" xfId="0" applyNumberFormat="1" applyFont="1" applyFill="1" applyBorder="1" applyAlignment="1"/>
    <xf numFmtId="41" fontId="4" fillId="4" borderId="12" xfId="0" applyNumberFormat="1" applyFont="1" applyFill="1" applyBorder="1" applyAlignment="1"/>
    <xf numFmtId="41" fontId="4" fillId="14" borderId="1" xfId="0" applyNumberFormat="1" applyFont="1" applyFill="1" applyBorder="1" applyAlignment="1"/>
    <xf numFmtId="165" fontId="4" fillId="25" borderId="90" xfId="2" applyNumberFormat="1" applyFont="1" applyFill="1" applyBorder="1" applyAlignment="1"/>
    <xf numFmtId="41" fontId="4" fillId="4" borderId="1" xfId="0" applyNumberFormat="1" applyFont="1" applyFill="1" applyBorder="1" applyAlignment="1"/>
    <xf numFmtId="41" fontId="4" fillId="36" borderId="95" xfId="0" applyNumberFormat="1" applyFont="1" applyFill="1" applyBorder="1" applyAlignment="1">
      <alignment horizontal="right"/>
    </xf>
    <xf numFmtId="41" fontId="4" fillId="14" borderId="95" xfId="0" applyNumberFormat="1" applyFont="1" applyFill="1" applyBorder="1" applyAlignment="1">
      <alignment horizontal="right"/>
    </xf>
    <xf numFmtId="41" fontId="4" fillId="14" borderId="85" xfId="0" applyNumberFormat="1" applyFont="1" applyFill="1" applyBorder="1" applyAlignment="1">
      <alignment horizontal="right"/>
    </xf>
    <xf numFmtId="9" fontId="4" fillId="0" borderId="89" xfId="0" applyNumberFormat="1" applyFont="1" applyFill="1" applyBorder="1" applyAlignment="1"/>
    <xf numFmtId="9" fontId="4" fillId="0" borderId="105" xfId="0" applyNumberFormat="1" applyFont="1" applyFill="1" applyBorder="1" applyAlignment="1"/>
    <xf numFmtId="9" fontId="4" fillId="7" borderId="105" xfId="0" applyNumberFormat="1" applyFont="1" applyFill="1" applyBorder="1" applyAlignment="1"/>
    <xf numFmtId="9" fontId="4" fillId="7" borderId="106" xfId="0" applyNumberFormat="1" applyFont="1" applyFill="1" applyBorder="1" applyAlignment="1"/>
    <xf numFmtId="9" fontId="4" fillId="7" borderId="107" xfId="0" applyNumberFormat="1" applyFont="1" applyFill="1" applyBorder="1" applyAlignment="1"/>
    <xf numFmtId="9" fontId="4" fillId="39" borderId="105" xfId="0" applyNumberFormat="1" applyFont="1" applyFill="1" applyBorder="1" applyAlignment="1"/>
    <xf numFmtId="9" fontId="4" fillId="39" borderId="108" xfId="0" applyNumberFormat="1" applyFont="1" applyFill="1" applyBorder="1" applyAlignment="1"/>
    <xf numFmtId="9" fontId="4" fillId="17" borderId="109" xfId="1" applyNumberFormat="1" applyFont="1" applyFill="1" applyBorder="1" applyAlignment="1">
      <alignment horizontal="right"/>
    </xf>
    <xf numFmtId="9" fontId="4" fillId="7" borderId="89" xfId="0" applyNumberFormat="1" applyFont="1" applyFill="1" applyBorder="1" applyAlignment="1"/>
    <xf numFmtId="41" fontId="4" fillId="9" borderId="110" xfId="0" applyNumberFormat="1" applyFont="1" applyFill="1" applyBorder="1" applyAlignment="1"/>
    <xf numFmtId="9" fontId="4" fillId="21" borderId="109" xfId="1" applyFont="1" applyFill="1" applyBorder="1" applyAlignment="1"/>
    <xf numFmtId="9" fontId="4" fillId="7" borderId="111" xfId="0" applyNumberFormat="1" applyFont="1" applyFill="1" applyBorder="1" applyAlignment="1"/>
    <xf numFmtId="9" fontId="4" fillId="23" borderId="112" xfId="1" applyFont="1" applyFill="1" applyBorder="1" applyAlignment="1"/>
    <xf numFmtId="9" fontId="4" fillId="27" borderId="109" xfId="1" applyFont="1" applyFill="1" applyBorder="1" applyAlignment="1"/>
    <xf numFmtId="164" fontId="4" fillId="7" borderId="89" xfId="0" applyNumberFormat="1" applyFont="1" applyFill="1" applyBorder="1" applyAlignment="1"/>
    <xf numFmtId="9" fontId="4" fillId="31" borderId="109" xfId="1" applyFont="1" applyFill="1" applyBorder="1" applyAlignment="1">
      <alignment horizontal="right"/>
    </xf>
    <xf numFmtId="9" fontId="4" fillId="32" borderId="109" xfId="1" applyFont="1" applyFill="1" applyBorder="1" applyAlignment="1"/>
    <xf numFmtId="164" fontId="4" fillId="7" borderId="107" xfId="0" applyNumberFormat="1" applyFont="1" applyFill="1" applyBorder="1" applyAlignment="1"/>
    <xf numFmtId="164" fontId="4" fillId="39" borderId="111" xfId="0" applyNumberFormat="1" applyFont="1" applyFill="1" applyBorder="1" applyAlignment="1"/>
    <xf numFmtId="164" fontId="4" fillId="7" borderId="105" xfId="0" applyNumberFormat="1" applyFont="1" applyFill="1" applyBorder="1" applyAlignment="1"/>
    <xf numFmtId="9" fontId="4" fillId="36" borderId="111" xfId="1" applyFont="1" applyFill="1" applyBorder="1" applyAlignment="1"/>
    <xf numFmtId="9" fontId="4" fillId="35" borderId="111" xfId="1" applyFont="1" applyFill="1" applyBorder="1" applyAlignment="1"/>
    <xf numFmtId="9" fontId="4" fillId="34" borderId="105" xfId="1" applyFont="1" applyFill="1" applyBorder="1" applyAlignment="1"/>
    <xf numFmtId="9" fontId="4" fillId="21" borderId="113" xfId="1" applyFont="1" applyFill="1" applyBorder="1" applyAlignment="1"/>
    <xf numFmtId="41" fontId="4" fillId="23" borderId="114" xfId="0" applyNumberFormat="1" applyFont="1" applyFill="1" applyBorder="1" applyAlignment="1"/>
    <xf numFmtId="9" fontId="4" fillId="25" borderId="113" xfId="1" applyFont="1" applyFill="1" applyBorder="1" applyAlignment="1"/>
    <xf numFmtId="9" fontId="4" fillId="30" borderId="114" xfId="1" applyFont="1" applyFill="1" applyBorder="1" applyAlignment="1"/>
    <xf numFmtId="9" fontId="4" fillId="36" borderId="89" xfId="1" applyFont="1" applyFill="1" applyBorder="1" applyAlignment="1">
      <alignment horizontal="right"/>
    </xf>
    <xf numFmtId="9" fontId="4" fillId="36" borderId="105" xfId="1" applyFont="1" applyFill="1" applyBorder="1" applyAlignment="1">
      <alignment horizontal="right"/>
    </xf>
    <xf numFmtId="9" fontId="4" fillId="36" borderId="110" xfId="1" applyFont="1" applyFill="1" applyBorder="1" applyAlignment="1">
      <alignment horizontal="right"/>
    </xf>
    <xf numFmtId="9" fontId="4" fillId="32" borderId="115" xfId="1" applyFont="1" applyFill="1" applyBorder="1" applyAlignment="1"/>
    <xf numFmtId="0" fontId="6" fillId="2" borderId="110" xfId="0" applyFont="1" applyFill="1" applyBorder="1" applyAlignment="1"/>
    <xf numFmtId="9" fontId="4" fillId="32" borderId="116" xfId="1" applyFont="1" applyFill="1" applyBorder="1" applyAlignment="1"/>
    <xf numFmtId="9" fontId="4" fillId="36" borderId="117" xfId="1" applyFont="1" applyFill="1" applyBorder="1" applyAlignment="1">
      <alignment horizontal="right"/>
    </xf>
    <xf numFmtId="0" fontId="20" fillId="2" borderId="0" xfId="0" applyFont="1" applyFill="1" applyAlignment="1">
      <alignment horizontal="center"/>
    </xf>
    <xf numFmtId="0" fontId="21" fillId="32" borderId="42" xfId="0" applyFont="1" applyFill="1" applyBorder="1" applyAlignment="1">
      <alignment horizontal="right"/>
    </xf>
    <xf numFmtId="0" fontId="20" fillId="2" borderId="21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13" fillId="2" borderId="0" xfId="0" applyFont="1" applyFill="1" applyAlignment="1"/>
    <xf numFmtId="0" fontId="1" fillId="2" borderId="2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12" borderId="73" xfId="0" applyFont="1" applyFill="1" applyBorder="1" applyAlignment="1">
      <alignment horizontal="center"/>
    </xf>
    <xf numFmtId="0" fontId="4" fillId="12" borderId="21" xfId="0" applyFont="1" applyFill="1" applyBorder="1" applyAlignment="1">
      <alignment horizontal="center"/>
    </xf>
    <xf numFmtId="49" fontId="21" fillId="12" borderId="23" xfId="0" quotePrefix="1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3" xfId="0" applyFont="1" applyFill="1" applyBorder="1" applyAlignment="1">
      <alignment horizontal="center"/>
    </xf>
    <xf numFmtId="0" fontId="7" fillId="2" borderId="73" xfId="0" applyFont="1" applyFill="1" applyBorder="1" applyAlignment="1">
      <alignment horizontal="center"/>
    </xf>
    <xf numFmtId="0" fontId="4" fillId="14" borderId="73" xfId="0" applyFont="1" applyFill="1" applyBorder="1" applyAlignment="1">
      <alignment horizontal="center"/>
    </xf>
    <xf numFmtId="0" fontId="1" fillId="49" borderId="23" xfId="0" applyFont="1" applyFill="1" applyBorder="1" applyAlignment="1">
      <alignment horizontal="center"/>
    </xf>
    <xf numFmtId="0" fontId="1" fillId="38" borderId="21" xfId="0" applyFont="1" applyFill="1" applyBorder="1" applyAlignment="1">
      <alignment horizontal="center"/>
    </xf>
    <xf numFmtId="0" fontId="1" fillId="38" borderId="23" xfId="0" applyFont="1" applyFill="1" applyBorder="1" applyAlignment="1">
      <alignment horizontal="center"/>
    </xf>
    <xf numFmtId="0" fontId="1" fillId="38" borderId="3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5" fillId="2" borderId="0" xfId="3" applyFont="1" applyFill="1" applyBorder="1" applyAlignment="1"/>
    <xf numFmtId="0" fontId="1" fillId="2" borderId="48" xfId="0" applyFont="1" applyFill="1" applyBorder="1" applyAlignment="1"/>
    <xf numFmtId="0" fontId="1" fillId="2" borderId="27" xfId="0" applyFont="1" applyFill="1" applyBorder="1" applyAlignment="1"/>
    <xf numFmtId="0" fontId="1" fillId="2" borderId="28" xfId="0" applyFont="1" applyFill="1" applyBorder="1" applyAlignment="1"/>
    <xf numFmtId="0" fontId="1" fillId="2" borderId="68" xfId="0" applyFont="1" applyFill="1" applyBorder="1" applyAlignment="1"/>
    <xf numFmtId="0" fontId="1" fillId="2" borderId="63" xfId="0" applyFont="1" applyFill="1" applyBorder="1" applyAlignment="1"/>
    <xf numFmtId="0" fontId="1" fillId="2" borderId="47" xfId="0" applyFont="1" applyFill="1" applyBorder="1" applyAlignment="1"/>
    <xf numFmtId="0" fontId="1" fillId="3" borderId="29" xfId="0" applyFont="1" applyFill="1" applyBorder="1" applyAlignment="1"/>
    <xf numFmtId="0" fontId="1" fillId="3" borderId="27" xfId="0" applyFont="1" applyFill="1" applyBorder="1" applyAlignment="1"/>
    <xf numFmtId="0" fontId="1" fillId="2" borderId="29" xfId="0" applyFont="1" applyFill="1" applyBorder="1" applyAlignment="1"/>
    <xf numFmtId="0" fontId="1" fillId="2" borderId="70" xfId="0" applyFont="1" applyFill="1" applyBorder="1" applyAlignment="1"/>
  </cellXfs>
  <cellStyles count="6">
    <cellStyle name="Comma" xfId="2" builtinId="3"/>
    <cellStyle name="Normal" xfId="0" builtinId="0"/>
    <cellStyle name="Normal 2" xfId="3" xr:uid="{00000000-0005-0000-0000-000002000000}"/>
    <cellStyle name="Normal 3" xfId="5" xr:uid="{00000000-0005-0000-0000-000003000000}"/>
    <cellStyle name="Percent" xfId="1" builtinId="5"/>
    <cellStyle name="Percent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W151"/>
  <sheetViews>
    <sheetView showGridLines="0" tabSelected="1" topLeftCell="A99" zoomScaleNormal="100" workbookViewId="0">
      <selection activeCell="AO6" sqref="AO1:AO1048576"/>
    </sheetView>
  </sheetViews>
  <sheetFormatPr defaultColWidth="10.6640625" defaultRowHeight="11.25" x14ac:dyDescent="0.2"/>
  <cols>
    <col min="1" max="1" width="45.83203125" style="296" customWidth="1"/>
    <col min="2" max="9" width="7.5" style="296" hidden="1" customWidth="1"/>
    <col min="10" max="10" width="7.5" style="358" hidden="1" customWidth="1"/>
    <col min="11" max="11" width="7.5" style="359" hidden="1" customWidth="1"/>
    <col min="12" max="15" width="7.5" style="358" hidden="1" customWidth="1"/>
    <col min="16" max="16" width="7.5" style="83" hidden="1" customWidth="1"/>
    <col min="17" max="17" width="7.5" style="360" hidden="1" customWidth="1"/>
    <col min="18" max="18" width="7.33203125" style="360" hidden="1" customWidth="1"/>
    <col min="19" max="19" width="8.33203125" style="361" hidden="1" customWidth="1"/>
    <col min="20" max="20" width="8.33203125" style="360" hidden="1" customWidth="1"/>
    <col min="21" max="21" width="8.1640625" style="360" hidden="1" customWidth="1"/>
    <col min="22" max="22" width="8.1640625" style="360" customWidth="1"/>
    <col min="23" max="24" width="8.1640625" style="360" hidden="1" customWidth="1"/>
    <col min="25" max="25" width="10" style="360" hidden="1" customWidth="1"/>
    <col min="26" max="26" width="8.1640625" style="360" hidden="1" customWidth="1"/>
    <col min="27" max="32" width="8.1640625" style="360" customWidth="1"/>
    <col min="33" max="33" width="8.83203125" style="360" customWidth="1"/>
    <col min="34" max="35" width="8.83203125" style="296" customWidth="1"/>
    <col min="36" max="36" width="9.6640625" style="296" customWidth="1"/>
    <col min="37" max="40" width="10.6640625" style="296"/>
    <col min="41" max="41" width="0" style="296" hidden="1" customWidth="1"/>
    <col min="42" max="43" width="10.6640625" style="296"/>
    <col min="44" max="44" width="10.83203125" style="296" customWidth="1"/>
    <col min="45" max="16384" width="10.6640625" style="304"/>
  </cols>
  <sheetData>
    <row r="1" spans="1:37" ht="15" x14ac:dyDescent="0.25">
      <c r="A1" s="720" t="s">
        <v>116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0"/>
      <c r="AD1" s="720"/>
      <c r="AE1" s="720"/>
      <c r="AF1" s="720"/>
      <c r="AG1" s="720"/>
      <c r="AH1" s="720"/>
      <c r="AI1" s="720"/>
      <c r="AJ1" s="720"/>
    </row>
    <row r="2" spans="1:37" ht="15" x14ac:dyDescent="0.25">
      <c r="A2" s="700"/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G2" s="700"/>
      <c r="AH2" s="700"/>
      <c r="AI2" s="700"/>
      <c r="AJ2" s="700"/>
    </row>
    <row r="3" spans="1:37" ht="15" x14ac:dyDescent="0.25">
      <c r="A3" s="714" t="s">
        <v>85</v>
      </c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702"/>
      <c r="T3" s="702"/>
      <c r="U3" s="702"/>
      <c r="V3" s="615" t="s">
        <v>84</v>
      </c>
      <c r="W3" s="702"/>
      <c r="X3" s="702"/>
      <c r="Y3" s="702"/>
      <c r="Z3" s="702"/>
      <c r="AA3" s="709" t="s">
        <v>84</v>
      </c>
      <c r="AB3" s="709" t="s">
        <v>84</v>
      </c>
      <c r="AC3" s="709" t="s">
        <v>84</v>
      </c>
      <c r="AD3" s="710" t="s">
        <v>84</v>
      </c>
      <c r="AE3" s="709" t="s">
        <v>84</v>
      </c>
      <c r="AF3" s="715" t="s">
        <v>84</v>
      </c>
      <c r="AG3" s="712" t="s">
        <v>141</v>
      </c>
      <c r="AH3" s="717" t="s">
        <v>142</v>
      </c>
      <c r="AI3" s="713" t="s">
        <v>143</v>
      </c>
      <c r="AJ3" s="719" t="s">
        <v>144</v>
      </c>
    </row>
    <row r="4" spans="1:37" ht="15" x14ac:dyDescent="0.25">
      <c r="A4" s="704"/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  <c r="P4" s="703"/>
      <c r="Q4" s="703"/>
      <c r="R4" s="703"/>
      <c r="S4" s="703"/>
      <c r="T4" s="703"/>
      <c r="U4" s="703"/>
      <c r="V4" s="616" t="s">
        <v>40</v>
      </c>
      <c r="W4" s="703"/>
      <c r="X4" s="703"/>
      <c r="Y4" s="703"/>
      <c r="Z4" s="703"/>
      <c r="AA4" s="711" t="s">
        <v>73</v>
      </c>
      <c r="AB4" s="706" t="s">
        <v>74</v>
      </c>
      <c r="AC4" s="706" t="s">
        <v>77</v>
      </c>
      <c r="AD4" s="707" t="s">
        <v>79</v>
      </c>
      <c r="AE4" s="706" t="s">
        <v>80</v>
      </c>
      <c r="AF4" s="716" t="s">
        <v>111</v>
      </c>
      <c r="AG4" s="708" t="s">
        <v>140</v>
      </c>
      <c r="AH4" s="718" t="s">
        <v>140</v>
      </c>
      <c r="AI4" s="706" t="s">
        <v>140</v>
      </c>
      <c r="AJ4" s="718" t="s">
        <v>145</v>
      </c>
      <c r="AK4" s="705"/>
    </row>
    <row r="5" spans="1:37" ht="12" x14ac:dyDescent="0.2">
      <c r="A5" s="444" t="s">
        <v>43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6"/>
    </row>
    <row r="6" spans="1:37" ht="12" x14ac:dyDescent="0.2">
      <c r="A6" s="447" t="s">
        <v>44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9"/>
    </row>
    <row r="7" spans="1:37" ht="12" x14ac:dyDescent="0.2">
      <c r="A7" s="441" t="s">
        <v>45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42"/>
      <c r="AD7" s="442"/>
      <c r="AE7" s="442"/>
      <c r="AF7" s="442"/>
      <c r="AG7" s="442"/>
      <c r="AH7" s="442"/>
      <c r="AI7" s="442"/>
      <c r="AJ7" s="443"/>
    </row>
    <row r="8" spans="1:37" ht="13.5" x14ac:dyDescent="0.2">
      <c r="A8" s="305" t="s">
        <v>128</v>
      </c>
      <c r="B8" s="84"/>
      <c r="C8" s="84"/>
      <c r="D8" s="84"/>
      <c r="E8" s="84"/>
      <c r="F8" s="84"/>
      <c r="G8" s="84"/>
      <c r="H8" s="77"/>
      <c r="I8" s="77">
        <v>8</v>
      </c>
      <c r="J8" s="84">
        <v>9</v>
      </c>
      <c r="K8" s="84">
        <v>3</v>
      </c>
      <c r="L8" s="84">
        <v>7</v>
      </c>
      <c r="M8" s="84">
        <v>9</v>
      </c>
      <c r="N8" s="77">
        <v>11</v>
      </c>
      <c r="O8" s="219">
        <v>6</v>
      </c>
      <c r="P8" s="219">
        <v>10</v>
      </c>
      <c r="Q8" s="266">
        <v>10</v>
      </c>
      <c r="R8" s="266">
        <v>9</v>
      </c>
      <c r="S8" s="288">
        <v>6</v>
      </c>
      <c r="T8" s="266">
        <v>7</v>
      </c>
      <c r="U8" s="450">
        <v>6</v>
      </c>
      <c r="V8" s="593">
        <v>11</v>
      </c>
      <c r="W8" s="234">
        <v>10</v>
      </c>
      <c r="X8" s="77">
        <v>7</v>
      </c>
      <c r="Y8" s="481"/>
      <c r="Z8" s="481"/>
      <c r="AA8" s="481"/>
      <c r="AB8" s="481"/>
      <c r="AC8" s="481"/>
      <c r="AD8" s="481"/>
      <c r="AE8" s="481"/>
      <c r="AF8" s="643"/>
      <c r="AG8" s="666" t="str">
        <f>IF(AF8=0," ",IF(AJ8&gt;20,(AF8-AE8)/AE8," "))</f>
        <v xml:space="preserve"> </v>
      </c>
      <c r="AH8" s="284" t="str">
        <f>IF(AF8=0," ",IF(AJ8&gt;20,(AF8-AA8)/AA8," "))</f>
        <v xml:space="preserve"> </v>
      </c>
      <c r="AI8" s="285" t="str">
        <f>IF(AF8=0," ",(IF(AJ8&gt;20,(AF8-V8)/V8," ")))</f>
        <v xml:space="preserve"> </v>
      </c>
      <c r="AJ8" s="205" t="str">
        <f>IF(AD8&gt;0,AVERAGE(AD8:AF8),"  ")</f>
        <v xml:space="preserve">  </v>
      </c>
    </row>
    <row r="9" spans="1:37" ht="12" x14ac:dyDescent="0.2">
      <c r="A9" s="306" t="s">
        <v>10</v>
      </c>
      <c r="B9" s="62"/>
      <c r="C9" s="62"/>
      <c r="D9" s="62"/>
      <c r="E9" s="62"/>
      <c r="F9" s="62"/>
      <c r="G9" s="62"/>
      <c r="H9" s="5"/>
      <c r="I9" s="5"/>
      <c r="J9" s="62">
        <v>19</v>
      </c>
      <c r="K9" s="62">
        <v>18</v>
      </c>
      <c r="L9" s="62">
        <v>33</v>
      </c>
      <c r="M9" s="62">
        <v>43</v>
      </c>
      <c r="N9" s="5">
        <v>45</v>
      </c>
      <c r="O9" s="220">
        <v>68</v>
      </c>
      <c r="P9" s="220">
        <v>49</v>
      </c>
      <c r="Q9" s="260">
        <v>81</v>
      </c>
      <c r="R9" s="260">
        <v>90</v>
      </c>
      <c r="S9" s="289">
        <v>102</v>
      </c>
      <c r="T9" s="260">
        <v>110</v>
      </c>
      <c r="U9" s="451">
        <f>143+1</f>
        <v>144</v>
      </c>
      <c r="V9" s="594">
        <v>139</v>
      </c>
      <c r="W9" s="230">
        <v>128</v>
      </c>
      <c r="X9" s="5">
        <v>171</v>
      </c>
      <c r="Y9" s="5">
        <v>147</v>
      </c>
      <c r="Z9" s="63">
        <v>126</v>
      </c>
      <c r="AA9" s="63">
        <v>134</v>
      </c>
      <c r="AB9" s="63">
        <v>111</v>
      </c>
      <c r="AC9" s="63">
        <v>145</v>
      </c>
      <c r="AD9" s="63">
        <v>114</v>
      </c>
      <c r="AE9" s="63">
        <v>93</v>
      </c>
      <c r="AF9" s="68">
        <v>83</v>
      </c>
      <c r="AG9" s="667">
        <f t="shared" ref="AG9:AG17" si="0">IF(AF9=0," ",IF(AJ9&gt;20,(AF9-AE9)/AE9," "))</f>
        <v>-0.10752688172043011</v>
      </c>
      <c r="AH9" s="189">
        <f t="shared" ref="AH9:AH17" si="1">IF(AF9=0," ",IF(AJ9&gt;20,(AF9-AA9)/AA9," "))</f>
        <v>-0.38059701492537312</v>
      </c>
      <c r="AI9" s="190">
        <f t="shared" ref="AI9:AI17" si="2">IF(AF9=0," ",(IF(AJ9&gt;20,(AF9-V9)/V9," ")))</f>
        <v>-0.40287769784172661</v>
      </c>
      <c r="AJ9" s="105">
        <f t="shared" ref="AJ9:AJ17" si="3">IF(AD9&gt;0,AVERAGE(AD9:AF9),"  ")</f>
        <v>96.666666666666671</v>
      </c>
    </row>
    <row r="10" spans="1:37" ht="12" x14ac:dyDescent="0.2">
      <c r="A10" s="306" t="s">
        <v>87</v>
      </c>
      <c r="B10" s="62"/>
      <c r="C10" s="62"/>
      <c r="D10" s="62"/>
      <c r="E10" s="62"/>
      <c r="F10" s="62"/>
      <c r="G10" s="62"/>
      <c r="H10" s="5"/>
      <c r="I10" s="5"/>
      <c r="J10" s="62"/>
      <c r="K10" s="62"/>
      <c r="L10" s="62"/>
      <c r="M10" s="62"/>
      <c r="N10" s="5"/>
      <c r="O10" s="220"/>
      <c r="P10" s="220"/>
      <c r="Q10" s="260"/>
      <c r="R10" s="260"/>
      <c r="S10" s="289"/>
      <c r="T10" s="260"/>
      <c r="U10" s="436"/>
      <c r="V10" s="595"/>
      <c r="W10" s="483"/>
      <c r="X10" s="483"/>
      <c r="Y10" s="483"/>
      <c r="Z10" s="483"/>
      <c r="AA10" s="483"/>
      <c r="AB10" s="483"/>
      <c r="AC10" s="483"/>
      <c r="AD10" s="482"/>
      <c r="AE10" s="5">
        <v>15</v>
      </c>
      <c r="AF10" s="68">
        <v>35</v>
      </c>
      <c r="AG10" s="668">
        <f t="shared" si="0"/>
        <v>1.3333333333333333</v>
      </c>
      <c r="AH10" s="189"/>
      <c r="AI10" s="190"/>
      <c r="AJ10" s="105" t="str">
        <f t="shared" si="3"/>
        <v xml:space="preserve">  </v>
      </c>
    </row>
    <row r="11" spans="1:37" ht="12" x14ac:dyDescent="0.2">
      <c r="A11" s="592" t="s">
        <v>42</v>
      </c>
      <c r="B11" s="85">
        <v>11</v>
      </c>
      <c r="C11" s="85">
        <v>15</v>
      </c>
      <c r="D11" s="85">
        <v>6</v>
      </c>
      <c r="E11" s="85">
        <v>9</v>
      </c>
      <c r="F11" s="85">
        <v>11</v>
      </c>
      <c r="G11" s="85">
        <v>9</v>
      </c>
      <c r="H11" s="86">
        <v>5</v>
      </c>
      <c r="I11" s="86">
        <v>10</v>
      </c>
      <c r="J11" s="85">
        <v>7</v>
      </c>
      <c r="K11" s="85">
        <v>7</v>
      </c>
      <c r="L11" s="85">
        <v>8</v>
      </c>
      <c r="M11" s="85">
        <v>6</v>
      </c>
      <c r="N11" s="86">
        <v>9</v>
      </c>
      <c r="O11" s="226">
        <v>9</v>
      </c>
      <c r="P11" s="226">
        <v>12</v>
      </c>
      <c r="Q11" s="267">
        <v>10</v>
      </c>
      <c r="R11" s="267">
        <v>10</v>
      </c>
      <c r="S11" s="293">
        <v>12</v>
      </c>
      <c r="T11" s="267">
        <v>15</v>
      </c>
      <c r="U11" s="457">
        <v>9</v>
      </c>
      <c r="V11" s="596">
        <v>12</v>
      </c>
      <c r="W11" s="235">
        <v>15</v>
      </c>
      <c r="X11" s="86">
        <v>11</v>
      </c>
      <c r="Y11" s="86">
        <v>15</v>
      </c>
      <c r="Z11" s="72">
        <v>13</v>
      </c>
      <c r="AA11" s="72">
        <v>16</v>
      </c>
      <c r="AB11" s="72">
        <v>14</v>
      </c>
      <c r="AC11" s="72">
        <v>11</v>
      </c>
      <c r="AD11" s="72">
        <v>13</v>
      </c>
      <c r="AE11" s="72">
        <v>9</v>
      </c>
      <c r="AF11" s="644">
        <v>10</v>
      </c>
      <c r="AG11" s="669" t="str">
        <f t="shared" si="0"/>
        <v xml:space="preserve"> </v>
      </c>
      <c r="AH11" s="187" t="str">
        <f t="shared" si="1"/>
        <v xml:space="preserve"> </v>
      </c>
      <c r="AI11" s="188" t="str">
        <f t="shared" si="2"/>
        <v xml:space="preserve"> </v>
      </c>
      <c r="AJ11" s="203">
        <f t="shared" si="3"/>
        <v>10.666666666666666</v>
      </c>
    </row>
    <row r="12" spans="1:37" ht="13.5" x14ac:dyDescent="0.2">
      <c r="A12" s="306" t="s">
        <v>127</v>
      </c>
      <c r="B12" s="62"/>
      <c r="C12" s="62"/>
      <c r="D12" s="62"/>
      <c r="E12" s="62"/>
      <c r="F12" s="62"/>
      <c r="G12" s="62"/>
      <c r="H12" s="5"/>
      <c r="I12" s="5"/>
      <c r="J12" s="62"/>
      <c r="K12" s="62"/>
      <c r="L12" s="62"/>
      <c r="M12" s="62">
        <v>0</v>
      </c>
      <c r="N12" s="5"/>
      <c r="O12" s="220"/>
      <c r="P12" s="220"/>
      <c r="Q12" s="260"/>
      <c r="R12" s="260">
        <v>0</v>
      </c>
      <c r="S12" s="289">
        <v>0</v>
      </c>
      <c r="T12" s="260">
        <v>0</v>
      </c>
      <c r="U12" s="436"/>
      <c r="V12" s="594">
        <v>1</v>
      </c>
      <c r="W12" s="230">
        <v>15</v>
      </c>
      <c r="X12" s="5">
        <v>22</v>
      </c>
      <c r="Y12" s="5">
        <v>34</v>
      </c>
      <c r="Z12" s="63">
        <v>23</v>
      </c>
      <c r="AA12" s="63">
        <v>56</v>
      </c>
      <c r="AB12" s="63">
        <v>42</v>
      </c>
      <c r="AC12" s="63">
        <v>38</v>
      </c>
      <c r="AD12" s="63">
        <v>21</v>
      </c>
      <c r="AE12" s="63">
        <v>29</v>
      </c>
      <c r="AF12" s="68">
        <v>6</v>
      </c>
      <c r="AG12" s="668" t="str">
        <f t="shared" si="0"/>
        <v xml:space="preserve"> </v>
      </c>
      <c r="AH12" s="189" t="str">
        <f t="shared" si="1"/>
        <v xml:space="preserve"> </v>
      </c>
      <c r="AI12" s="190" t="str">
        <f t="shared" si="2"/>
        <v xml:space="preserve"> </v>
      </c>
      <c r="AJ12" s="105">
        <f t="shared" si="3"/>
        <v>18.666666666666668</v>
      </c>
    </row>
    <row r="13" spans="1:37" ht="12" x14ac:dyDescent="0.2">
      <c r="A13" s="307" t="s">
        <v>25</v>
      </c>
      <c r="B13" s="65">
        <v>14</v>
      </c>
      <c r="C13" s="65">
        <v>21</v>
      </c>
      <c r="D13" s="65">
        <v>19</v>
      </c>
      <c r="E13" s="65">
        <v>18</v>
      </c>
      <c r="F13" s="65">
        <v>17</v>
      </c>
      <c r="G13" s="65">
        <v>14</v>
      </c>
      <c r="H13" s="6">
        <v>7</v>
      </c>
      <c r="I13" s="6">
        <v>11</v>
      </c>
      <c r="J13" s="65">
        <v>7</v>
      </c>
      <c r="K13" s="65">
        <v>11</v>
      </c>
      <c r="L13" s="65">
        <v>10</v>
      </c>
      <c r="M13" s="65">
        <v>15</v>
      </c>
      <c r="N13" s="6">
        <v>24</v>
      </c>
      <c r="O13" s="221">
        <v>23</v>
      </c>
      <c r="P13" s="221">
        <v>27</v>
      </c>
      <c r="Q13" s="261">
        <v>23</v>
      </c>
      <c r="R13" s="261">
        <f>35+1</f>
        <v>36</v>
      </c>
      <c r="S13" s="290">
        <v>23</v>
      </c>
      <c r="T13" s="261">
        <v>31</v>
      </c>
      <c r="U13" s="452">
        <v>37</v>
      </c>
      <c r="V13" s="597">
        <v>37</v>
      </c>
      <c r="W13" s="231">
        <v>36</v>
      </c>
      <c r="X13" s="6">
        <v>29</v>
      </c>
      <c r="Y13" s="6">
        <v>27</v>
      </c>
      <c r="Z13" s="66">
        <v>20</v>
      </c>
      <c r="AA13" s="66">
        <v>22</v>
      </c>
      <c r="AB13" s="66">
        <v>23</v>
      </c>
      <c r="AC13" s="66">
        <v>30</v>
      </c>
      <c r="AD13" s="66">
        <v>30</v>
      </c>
      <c r="AE13" s="66">
        <v>20</v>
      </c>
      <c r="AF13" s="645">
        <v>16</v>
      </c>
      <c r="AG13" s="670">
        <f t="shared" si="0"/>
        <v>-0.2</v>
      </c>
      <c r="AH13" s="191">
        <f t="shared" si="1"/>
        <v>-0.27272727272727271</v>
      </c>
      <c r="AI13" s="192">
        <f t="shared" si="2"/>
        <v>-0.56756756756756754</v>
      </c>
      <c r="AJ13" s="204">
        <f t="shared" si="3"/>
        <v>22</v>
      </c>
    </row>
    <row r="14" spans="1:37" ht="12" x14ac:dyDescent="0.2">
      <c r="A14" s="308" t="s">
        <v>46</v>
      </c>
      <c r="B14" s="56">
        <f t="shared" ref="B14:AE14" si="4">SUM(B8:B13)</f>
        <v>25</v>
      </c>
      <c r="C14" s="56">
        <f t="shared" si="4"/>
        <v>36</v>
      </c>
      <c r="D14" s="56">
        <f t="shared" si="4"/>
        <v>25</v>
      </c>
      <c r="E14" s="56">
        <f t="shared" si="4"/>
        <v>27</v>
      </c>
      <c r="F14" s="56">
        <f t="shared" si="4"/>
        <v>28</v>
      </c>
      <c r="G14" s="56">
        <f t="shared" si="4"/>
        <v>23</v>
      </c>
      <c r="H14" s="56">
        <f t="shared" si="4"/>
        <v>12</v>
      </c>
      <c r="I14" s="56">
        <f t="shared" si="4"/>
        <v>29</v>
      </c>
      <c r="J14" s="56">
        <f t="shared" si="4"/>
        <v>42</v>
      </c>
      <c r="K14" s="56">
        <f t="shared" si="4"/>
        <v>39</v>
      </c>
      <c r="L14" s="56">
        <f t="shared" si="4"/>
        <v>58</v>
      </c>
      <c r="M14" s="56">
        <f t="shared" si="4"/>
        <v>73</v>
      </c>
      <c r="N14" s="56">
        <f t="shared" si="4"/>
        <v>89</v>
      </c>
      <c r="O14" s="222">
        <f t="shared" si="4"/>
        <v>106</v>
      </c>
      <c r="P14" s="222">
        <f t="shared" si="4"/>
        <v>98</v>
      </c>
      <c r="Q14" s="262">
        <f t="shared" si="4"/>
        <v>124</v>
      </c>
      <c r="R14" s="262">
        <f>SUM(R8:R13)</f>
        <v>145</v>
      </c>
      <c r="S14" s="262">
        <f t="shared" si="4"/>
        <v>143</v>
      </c>
      <c r="T14" s="262">
        <f t="shared" si="4"/>
        <v>163</v>
      </c>
      <c r="U14" s="453">
        <f t="shared" si="4"/>
        <v>196</v>
      </c>
      <c r="V14" s="598">
        <f t="shared" si="4"/>
        <v>200</v>
      </c>
      <c r="W14" s="147">
        <f t="shared" si="4"/>
        <v>204</v>
      </c>
      <c r="X14" s="56">
        <f t="shared" si="4"/>
        <v>240</v>
      </c>
      <c r="Y14" s="56">
        <f t="shared" si="4"/>
        <v>223</v>
      </c>
      <c r="Z14" s="56">
        <f t="shared" si="4"/>
        <v>182</v>
      </c>
      <c r="AA14" s="56">
        <f t="shared" si="4"/>
        <v>228</v>
      </c>
      <c r="AB14" s="56">
        <f t="shared" ref="AB14:AD14" si="5">SUM(AB8:AB13)</f>
        <v>190</v>
      </c>
      <c r="AC14" s="56">
        <f t="shared" si="5"/>
        <v>224</v>
      </c>
      <c r="AD14" s="56">
        <f t="shared" si="5"/>
        <v>178</v>
      </c>
      <c r="AE14" s="56">
        <f t="shared" si="4"/>
        <v>166</v>
      </c>
      <c r="AF14" s="646">
        <f>SUM(AF8:AF13)</f>
        <v>150</v>
      </c>
      <c r="AG14" s="671">
        <f t="shared" si="0"/>
        <v>-9.6385542168674704E-2</v>
      </c>
      <c r="AH14" s="198">
        <f t="shared" si="1"/>
        <v>-0.34210526315789475</v>
      </c>
      <c r="AI14" s="199">
        <f t="shared" si="2"/>
        <v>-0.25</v>
      </c>
      <c r="AJ14" s="104">
        <f t="shared" si="3"/>
        <v>164.66666666666666</v>
      </c>
    </row>
    <row r="15" spans="1:37" ht="12" x14ac:dyDescent="0.2">
      <c r="A15" s="309" t="s">
        <v>88</v>
      </c>
      <c r="B15" s="98">
        <v>61</v>
      </c>
      <c r="C15" s="98">
        <v>76</v>
      </c>
      <c r="D15" s="98">
        <v>55</v>
      </c>
      <c r="E15" s="98">
        <v>49</v>
      </c>
      <c r="F15" s="98">
        <v>48</v>
      </c>
      <c r="G15" s="98">
        <v>37</v>
      </c>
      <c r="H15" s="99">
        <v>55</v>
      </c>
      <c r="I15" s="99">
        <v>54</v>
      </c>
      <c r="J15" s="98">
        <v>56</v>
      </c>
      <c r="K15" s="98">
        <v>80</v>
      </c>
      <c r="L15" s="98">
        <v>78</v>
      </c>
      <c r="M15" s="98">
        <v>84</v>
      </c>
      <c r="N15" s="99">
        <v>68</v>
      </c>
      <c r="O15" s="223">
        <v>76</v>
      </c>
      <c r="P15" s="223">
        <v>83</v>
      </c>
      <c r="Q15" s="263">
        <v>70</v>
      </c>
      <c r="R15" s="263">
        <v>84</v>
      </c>
      <c r="S15" s="291">
        <v>87</v>
      </c>
      <c r="T15" s="263">
        <v>93</v>
      </c>
      <c r="U15" s="454">
        <v>86</v>
      </c>
      <c r="V15" s="599">
        <v>94</v>
      </c>
      <c r="W15" s="232">
        <v>90</v>
      </c>
      <c r="X15" s="99">
        <v>97</v>
      </c>
      <c r="Y15" s="99">
        <v>87</v>
      </c>
      <c r="Z15" s="98">
        <v>89</v>
      </c>
      <c r="AA15" s="98">
        <v>89</v>
      </c>
      <c r="AB15" s="98">
        <v>83</v>
      </c>
      <c r="AC15" s="98">
        <v>99</v>
      </c>
      <c r="AD15" s="98">
        <v>93</v>
      </c>
      <c r="AE15" s="98">
        <v>85</v>
      </c>
      <c r="AF15" s="647">
        <v>80</v>
      </c>
      <c r="AG15" s="672">
        <f t="shared" si="0"/>
        <v>-5.8823529411764705E-2</v>
      </c>
      <c r="AH15" s="200">
        <f t="shared" si="1"/>
        <v>-0.10112359550561797</v>
      </c>
      <c r="AI15" s="201">
        <f t="shared" si="2"/>
        <v>-0.14893617021276595</v>
      </c>
      <c r="AJ15" s="106">
        <f t="shared" si="3"/>
        <v>86</v>
      </c>
    </row>
    <row r="16" spans="1:37" ht="12" x14ac:dyDescent="0.2">
      <c r="A16" s="310" t="s">
        <v>89</v>
      </c>
      <c r="B16" s="100">
        <v>59</v>
      </c>
      <c r="C16" s="100">
        <v>62</v>
      </c>
      <c r="D16" s="100">
        <v>72</v>
      </c>
      <c r="E16" s="100">
        <v>74</v>
      </c>
      <c r="F16" s="100">
        <v>67</v>
      </c>
      <c r="G16" s="100">
        <v>54</v>
      </c>
      <c r="H16" s="101">
        <v>74</v>
      </c>
      <c r="I16" s="101">
        <v>46</v>
      </c>
      <c r="J16" s="100">
        <v>59</v>
      </c>
      <c r="K16" s="100">
        <v>55</v>
      </c>
      <c r="L16" s="100">
        <v>61</v>
      </c>
      <c r="M16" s="100">
        <v>59</v>
      </c>
      <c r="N16" s="101">
        <v>56</v>
      </c>
      <c r="O16" s="224">
        <v>63</v>
      </c>
      <c r="P16" s="224">
        <v>61</v>
      </c>
      <c r="Q16" s="264">
        <v>61</v>
      </c>
      <c r="R16" s="264">
        <v>74</v>
      </c>
      <c r="S16" s="292">
        <f>91+2</f>
        <v>93</v>
      </c>
      <c r="T16" s="264">
        <v>74</v>
      </c>
      <c r="U16" s="455">
        <v>91</v>
      </c>
      <c r="V16" s="600">
        <v>82</v>
      </c>
      <c r="W16" s="233">
        <v>133</v>
      </c>
      <c r="X16" s="101">
        <v>133</v>
      </c>
      <c r="Y16" s="101">
        <v>113</v>
      </c>
      <c r="Z16" s="100">
        <v>130</v>
      </c>
      <c r="AA16" s="100">
        <v>137</v>
      </c>
      <c r="AB16" s="100">
        <v>127</v>
      </c>
      <c r="AC16" s="100">
        <v>103</v>
      </c>
      <c r="AD16" s="100">
        <v>101</v>
      </c>
      <c r="AE16" s="100">
        <v>99</v>
      </c>
      <c r="AF16" s="648">
        <v>94</v>
      </c>
      <c r="AG16" s="671">
        <f t="shared" si="0"/>
        <v>-5.0505050505050504E-2</v>
      </c>
      <c r="AH16" s="198">
        <f t="shared" si="1"/>
        <v>-0.31386861313868614</v>
      </c>
      <c r="AI16" s="199">
        <f t="shared" si="2"/>
        <v>0.14634146341463414</v>
      </c>
      <c r="AJ16" s="104">
        <f t="shared" si="3"/>
        <v>98</v>
      </c>
    </row>
    <row r="17" spans="1:41" ht="12.75" thickBot="1" x14ac:dyDescent="0.25">
      <c r="A17" s="311" t="s">
        <v>48</v>
      </c>
      <c r="B17" s="107">
        <f t="shared" ref="B17:AE17" si="6">+B16+B15+B14</f>
        <v>145</v>
      </c>
      <c r="C17" s="107">
        <f t="shared" si="6"/>
        <v>174</v>
      </c>
      <c r="D17" s="107">
        <f t="shared" si="6"/>
        <v>152</v>
      </c>
      <c r="E17" s="107">
        <f t="shared" si="6"/>
        <v>150</v>
      </c>
      <c r="F17" s="107">
        <f t="shared" si="6"/>
        <v>143</v>
      </c>
      <c r="G17" s="107">
        <f t="shared" si="6"/>
        <v>114</v>
      </c>
      <c r="H17" s="107">
        <f t="shared" si="6"/>
        <v>141</v>
      </c>
      <c r="I17" s="107">
        <f t="shared" si="6"/>
        <v>129</v>
      </c>
      <c r="J17" s="107">
        <f t="shared" si="6"/>
        <v>157</v>
      </c>
      <c r="K17" s="107">
        <f t="shared" si="6"/>
        <v>174</v>
      </c>
      <c r="L17" s="107">
        <f t="shared" si="6"/>
        <v>197</v>
      </c>
      <c r="M17" s="107">
        <f t="shared" si="6"/>
        <v>216</v>
      </c>
      <c r="N17" s="107">
        <f t="shared" si="6"/>
        <v>213</v>
      </c>
      <c r="O17" s="225">
        <f t="shared" si="6"/>
        <v>245</v>
      </c>
      <c r="P17" s="225">
        <f t="shared" si="6"/>
        <v>242</v>
      </c>
      <c r="Q17" s="265">
        <f t="shared" si="6"/>
        <v>255</v>
      </c>
      <c r="R17" s="265">
        <f t="shared" si="6"/>
        <v>303</v>
      </c>
      <c r="S17" s="265">
        <f t="shared" si="6"/>
        <v>323</v>
      </c>
      <c r="T17" s="265">
        <f t="shared" si="6"/>
        <v>330</v>
      </c>
      <c r="U17" s="456">
        <f t="shared" si="6"/>
        <v>373</v>
      </c>
      <c r="V17" s="601">
        <f t="shared" si="6"/>
        <v>376</v>
      </c>
      <c r="W17" s="148">
        <f t="shared" si="6"/>
        <v>427</v>
      </c>
      <c r="X17" s="107">
        <f t="shared" si="6"/>
        <v>470</v>
      </c>
      <c r="Y17" s="107">
        <f t="shared" si="6"/>
        <v>423</v>
      </c>
      <c r="Z17" s="107">
        <f t="shared" si="6"/>
        <v>401</v>
      </c>
      <c r="AA17" s="107">
        <f t="shared" si="6"/>
        <v>454</v>
      </c>
      <c r="AB17" s="107">
        <f t="shared" si="6"/>
        <v>400</v>
      </c>
      <c r="AC17" s="107">
        <f t="shared" si="6"/>
        <v>426</v>
      </c>
      <c r="AD17" s="107">
        <f t="shared" si="6"/>
        <v>372</v>
      </c>
      <c r="AE17" s="107">
        <f t="shared" si="6"/>
        <v>350</v>
      </c>
      <c r="AF17" s="225">
        <f>+AF16+AF15+AF14</f>
        <v>324</v>
      </c>
      <c r="AG17" s="673">
        <f t="shared" si="0"/>
        <v>-7.4285714285714288E-2</v>
      </c>
      <c r="AH17" s="202">
        <f t="shared" si="1"/>
        <v>-0.28634361233480177</v>
      </c>
      <c r="AI17" s="202">
        <f t="shared" si="2"/>
        <v>-0.13829787234042554</v>
      </c>
      <c r="AJ17" s="161">
        <f t="shared" si="3"/>
        <v>348.66666666666669</v>
      </c>
    </row>
    <row r="18" spans="1:41" ht="13.5" thickTop="1" x14ac:dyDescent="0.2">
      <c r="A18" s="312" t="s">
        <v>49</v>
      </c>
      <c r="B18" s="57"/>
      <c r="C18" s="57"/>
      <c r="D18" s="57"/>
      <c r="E18" s="57"/>
      <c r="F18" s="58"/>
      <c r="G18" s="58"/>
      <c r="H18" s="58"/>
      <c r="I18" s="58"/>
      <c r="J18" s="57"/>
      <c r="K18" s="57"/>
      <c r="L18" s="57"/>
      <c r="M18" s="57"/>
      <c r="N18" s="59"/>
      <c r="O18" s="59"/>
      <c r="P18" s="59"/>
      <c r="Q18" s="59"/>
      <c r="R18" s="59"/>
      <c r="S18" s="60"/>
      <c r="T18" s="60"/>
      <c r="U18" s="60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160"/>
      <c r="AH18" s="160"/>
      <c r="AI18" s="160"/>
      <c r="AJ18" s="179"/>
    </row>
    <row r="19" spans="1:41" ht="12" x14ac:dyDescent="0.2">
      <c r="A19" s="424" t="s">
        <v>1</v>
      </c>
      <c r="B19" s="84">
        <v>27</v>
      </c>
      <c r="C19" s="84">
        <v>18</v>
      </c>
      <c r="D19" s="84">
        <v>28</v>
      </c>
      <c r="E19" s="84">
        <v>21</v>
      </c>
      <c r="F19" s="84">
        <v>17</v>
      </c>
      <c r="G19" s="84">
        <v>23</v>
      </c>
      <c r="H19" s="77">
        <v>27</v>
      </c>
      <c r="I19" s="77">
        <v>31</v>
      </c>
      <c r="J19" s="84">
        <v>37</v>
      </c>
      <c r="K19" s="84">
        <v>41</v>
      </c>
      <c r="L19" s="84">
        <v>27</v>
      </c>
      <c r="M19" s="84">
        <v>32</v>
      </c>
      <c r="N19" s="77">
        <v>18</v>
      </c>
      <c r="O19" s="219">
        <v>21</v>
      </c>
      <c r="P19" s="219">
        <v>16</v>
      </c>
      <c r="Q19" s="266">
        <v>10</v>
      </c>
      <c r="R19" s="266">
        <v>17</v>
      </c>
      <c r="S19" s="288">
        <v>17</v>
      </c>
      <c r="T19" s="266">
        <v>12</v>
      </c>
      <c r="U19" s="450">
        <v>7</v>
      </c>
      <c r="V19" s="593">
        <v>11</v>
      </c>
      <c r="W19" s="234">
        <v>6</v>
      </c>
      <c r="X19" s="77">
        <v>9</v>
      </c>
      <c r="Y19" s="77">
        <v>13</v>
      </c>
      <c r="Z19" s="76">
        <v>7</v>
      </c>
      <c r="AA19" s="76">
        <v>2</v>
      </c>
      <c r="AB19" s="76">
        <v>6</v>
      </c>
      <c r="AC19" s="76">
        <v>5</v>
      </c>
      <c r="AD19" s="76">
        <v>4</v>
      </c>
      <c r="AE19" s="76">
        <v>2</v>
      </c>
      <c r="AF19" s="649">
        <v>3</v>
      </c>
      <c r="AG19" s="674" t="str">
        <f t="shared" ref="AG19:AG39" si="7">IF(AF19=0," ",IF(AJ19&gt;20,(AF19-AE19)/AE19," "))</f>
        <v xml:space="preserve"> </v>
      </c>
      <c r="AH19" s="284" t="str">
        <f t="shared" ref="AH19:AH39" si="8">IF(AF19=0," ",IF(AJ19&gt;20,(AF19-AA19)/AA19," "))</f>
        <v xml:space="preserve"> </v>
      </c>
      <c r="AI19" s="285" t="str">
        <f t="shared" ref="AI19:AI39" si="9">IF(AF19=0," ",(IF(AJ19&gt;20,(AF19-V19)/V19," ")))</f>
        <v xml:space="preserve"> </v>
      </c>
      <c r="AJ19" s="205">
        <f t="shared" ref="AJ19:AJ39" si="10">IF(AD19&gt;0,AVERAGE(AD19:AF19),"  ")</f>
        <v>3</v>
      </c>
    </row>
    <row r="20" spans="1:41" ht="12" x14ac:dyDescent="0.2">
      <c r="A20" s="313" t="s">
        <v>31</v>
      </c>
      <c r="B20" s="62">
        <v>1</v>
      </c>
      <c r="C20" s="62">
        <v>3</v>
      </c>
      <c r="D20" s="62">
        <v>3</v>
      </c>
      <c r="E20" s="62">
        <v>0</v>
      </c>
      <c r="F20" s="62">
        <v>3</v>
      </c>
      <c r="G20" s="62">
        <v>2</v>
      </c>
      <c r="H20" s="5">
        <v>2</v>
      </c>
      <c r="I20" s="5">
        <v>2</v>
      </c>
      <c r="J20" s="62">
        <v>11</v>
      </c>
      <c r="K20" s="62">
        <v>15</v>
      </c>
      <c r="L20" s="62">
        <v>17</v>
      </c>
      <c r="M20" s="62">
        <v>25</v>
      </c>
      <c r="N20" s="5">
        <v>34</v>
      </c>
      <c r="O20" s="220">
        <v>40</v>
      </c>
      <c r="P20" s="220">
        <v>44</v>
      </c>
      <c r="Q20" s="260">
        <v>44</v>
      </c>
      <c r="R20" s="260">
        <v>56</v>
      </c>
      <c r="S20" s="289">
        <f>40+1</f>
        <v>41</v>
      </c>
      <c r="T20" s="260">
        <v>54</v>
      </c>
      <c r="U20" s="451">
        <v>39</v>
      </c>
      <c r="V20" s="594">
        <v>53</v>
      </c>
      <c r="W20" s="230">
        <v>43</v>
      </c>
      <c r="X20" s="5">
        <v>47</v>
      </c>
      <c r="Y20" s="5">
        <v>44</v>
      </c>
      <c r="Z20" s="63">
        <v>43</v>
      </c>
      <c r="AA20" s="63">
        <v>45</v>
      </c>
      <c r="AB20" s="63">
        <v>43</v>
      </c>
      <c r="AC20" s="63">
        <v>36</v>
      </c>
      <c r="AD20" s="63">
        <v>28</v>
      </c>
      <c r="AE20" s="63">
        <v>30</v>
      </c>
      <c r="AF20" s="68">
        <v>33</v>
      </c>
      <c r="AG20" s="668">
        <f t="shared" si="7"/>
        <v>0.1</v>
      </c>
      <c r="AH20" s="189">
        <f t="shared" si="8"/>
        <v>-0.26666666666666666</v>
      </c>
      <c r="AI20" s="190">
        <f t="shared" si="9"/>
        <v>-0.37735849056603776</v>
      </c>
      <c r="AJ20" s="105">
        <f t="shared" si="10"/>
        <v>30.333333333333332</v>
      </c>
    </row>
    <row r="21" spans="1:41" ht="12" x14ac:dyDescent="0.2">
      <c r="A21" s="313" t="s">
        <v>75</v>
      </c>
      <c r="B21" s="62">
        <v>77</v>
      </c>
      <c r="C21" s="62">
        <v>97</v>
      </c>
      <c r="D21" s="62">
        <v>92</v>
      </c>
      <c r="E21" s="62">
        <v>95</v>
      </c>
      <c r="F21" s="62">
        <v>115</v>
      </c>
      <c r="G21" s="62">
        <v>94</v>
      </c>
      <c r="H21" s="5">
        <v>122</v>
      </c>
      <c r="I21" s="5">
        <v>129</v>
      </c>
      <c r="J21" s="62">
        <v>143</v>
      </c>
      <c r="K21" s="62">
        <v>135</v>
      </c>
      <c r="L21" s="62">
        <v>131</v>
      </c>
      <c r="M21" s="62">
        <v>142</v>
      </c>
      <c r="N21" s="5">
        <v>133</v>
      </c>
      <c r="O21" s="220">
        <v>155</v>
      </c>
      <c r="P21" s="220">
        <v>159</v>
      </c>
      <c r="Q21" s="260">
        <v>176</v>
      </c>
      <c r="R21" s="260">
        <v>138</v>
      </c>
      <c r="S21" s="289">
        <f>178+1</f>
        <v>179</v>
      </c>
      <c r="T21" s="260">
        <v>194</v>
      </c>
      <c r="U21" s="451">
        <f>182+3</f>
        <v>185</v>
      </c>
      <c r="V21" s="594">
        <v>162</v>
      </c>
      <c r="W21" s="230">
        <f>172+1</f>
        <v>173</v>
      </c>
      <c r="X21" s="5">
        <v>159</v>
      </c>
      <c r="Y21" s="5">
        <v>145</v>
      </c>
      <c r="Z21" s="63">
        <v>138</v>
      </c>
      <c r="AA21" s="63">
        <v>174</v>
      </c>
      <c r="AB21" s="63">
        <v>157</v>
      </c>
      <c r="AC21" s="63">
        <v>156</v>
      </c>
      <c r="AD21" s="63">
        <v>125</v>
      </c>
      <c r="AE21" s="63">
        <v>111</v>
      </c>
      <c r="AF21" s="68">
        <f>118+4</f>
        <v>122</v>
      </c>
      <c r="AG21" s="668">
        <f t="shared" si="7"/>
        <v>9.90990990990991E-2</v>
      </c>
      <c r="AH21" s="189">
        <f t="shared" si="8"/>
        <v>-0.2988505747126437</v>
      </c>
      <c r="AI21" s="190">
        <f t="shared" si="9"/>
        <v>-0.24691358024691357</v>
      </c>
      <c r="AJ21" s="105">
        <f t="shared" si="10"/>
        <v>119.33333333333333</v>
      </c>
    </row>
    <row r="22" spans="1:41" ht="12" x14ac:dyDescent="0.2">
      <c r="A22" s="313" t="s">
        <v>5</v>
      </c>
      <c r="B22" s="62"/>
      <c r="C22" s="62"/>
      <c r="D22" s="62"/>
      <c r="E22" s="62"/>
      <c r="F22" s="62"/>
      <c r="G22" s="62"/>
      <c r="H22" s="5"/>
      <c r="I22" s="5">
        <v>4</v>
      </c>
      <c r="J22" s="62">
        <v>3</v>
      </c>
      <c r="K22" s="62">
        <v>11</v>
      </c>
      <c r="L22" s="62">
        <v>15</v>
      </c>
      <c r="M22" s="62">
        <v>12</v>
      </c>
      <c r="N22" s="5">
        <v>14</v>
      </c>
      <c r="O22" s="220">
        <v>14</v>
      </c>
      <c r="P22" s="220">
        <v>19</v>
      </c>
      <c r="Q22" s="260">
        <v>18</v>
      </c>
      <c r="R22" s="260">
        <v>26</v>
      </c>
      <c r="S22" s="289">
        <f>33+1</f>
        <v>34</v>
      </c>
      <c r="T22" s="260">
        <v>44</v>
      </c>
      <c r="U22" s="451">
        <f>40+1+3</f>
        <v>44</v>
      </c>
      <c r="V22" s="594">
        <v>41</v>
      </c>
      <c r="W22" s="230">
        <v>32</v>
      </c>
      <c r="X22" s="5">
        <v>36</v>
      </c>
      <c r="Y22" s="5">
        <v>33</v>
      </c>
      <c r="Z22" s="63">
        <v>23</v>
      </c>
      <c r="AA22" s="63">
        <v>33</v>
      </c>
      <c r="AB22" s="63">
        <v>27</v>
      </c>
      <c r="AC22" s="63">
        <v>26</v>
      </c>
      <c r="AD22" s="63">
        <v>14</v>
      </c>
      <c r="AE22" s="63">
        <v>20</v>
      </c>
      <c r="AF22" s="68">
        <v>15</v>
      </c>
      <c r="AG22" s="668" t="str">
        <f t="shared" si="7"/>
        <v xml:space="preserve"> </v>
      </c>
      <c r="AH22" s="189" t="str">
        <f t="shared" si="8"/>
        <v xml:space="preserve"> </v>
      </c>
      <c r="AI22" s="190" t="str">
        <f t="shared" si="9"/>
        <v xml:space="preserve"> </v>
      </c>
      <c r="AJ22" s="105">
        <f t="shared" si="10"/>
        <v>16.333333333333332</v>
      </c>
    </row>
    <row r="23" spans="1:41" ht="12" x14ac:dyDescent="0.2">
      <c r="A23" s="315" t="s">
        <v>9</v>
      </c>
      <c r="B23" s="65">
        <v>35</v>
      </c>
      <c r="C23" s="65">
        <v>42</v>
      </c>
      <c r="D23" s="65">
        <v>31</v>
      </c>
      <c r="E23" s="65">
        <v>33</v>
      </c>
      <c r="F23" s="65">
        <v>31</v>
      </c>
      <c r="G23" s="65">
        <v>33</v>
      </c>
      <c r="H23" s="6">
        <v>42</v>
      </c>
      <c r="I23" s="6">
        <v>31</v>
      </c>
      <c r="J23" s="65">
        <v>38</v>
      </c>
      <c r="K23" s="65">
        <v>46</v>
      </c>
      <c r="L23" s="65">
        <v>45</v>
      </c>
      <c r="M23" s="65">
        <v>38</v>
      </c>
      <c r="N23" s="6">
        <v>45</v>
      </c>
      <c r="O23" s="221">
        <v>53</v>
      </c>
      <c r="P23" s="221">
        <v>46</v>
      </c>
      <c r="Q23" s="261">
        <v>64</v>
      </c>
      <c r="R23" s="261">
        <v>48</v>
      </c>
      <c r="S23" s="290">
        <f>60+2</f>
        <v>62</v>
      </c>
      <c r="T23" s="261">
        <v>54</v>
      </c>
      <c r="U23" s="452">
        <f>43+3</f>
        <v>46</v>
      </c>
      <c r="V23" s="597">
        <v>52</v>
      </c>
      <c r="W23" s="231">
        <f>50+4</f>
        <v>54</v>
      </c>
      <c r="X23" s="6">
        <v>50</v>
      </c>
      <c r="Y23" s="6">
        <v>44</v>
      </c>
      <c r="Z23" s="66">
        <v>37</v>
      </c>
      <c r="AA23" s="66">
        <v>56</v>
      </c>
      <c r="AB23" s="66">
        <v>44</v>
      </c>
      <c r="AC23" s="66">
        <v>31</v>
      </c>
      <c r="AD23" s="66">
        <v>43</v>
      </c>
      <c r="AE23" s="66">
        <v>27</v>
      </c>
      <c r="AF23" s="645">
        <f>15+3</f>
        <v>18</v>
      </c>
      <c r="AG23" s="670">
        <f t="shared" si="7"/>
        <v>-0.33333333333333331</v>
      </c>
      <c r="AH23" s="191">
        <f t="shared" si="8"/>
        <v>-0.6785714285714286</v>
      </c>
      <c r="AI23" s="192">
        <f t="shared" si="9"/>
        <v>-0.65384615384615385</v>
      </c>
      <c r="AJ23" s="204">
        <f t="shared" si="10"/>
        <v>29.333333333333332</v>
      </c>
    </row>
    <row r="24" spans="1:41" ht="12" x14ac:dyDescent="0.2">
      <c r="A24" s="314" t="s">
        <v>32</v>
      </c>
      <c r="B24" s="85"/>
      <c r="C24" s="85"/>
      <c r="D24" s="85"/>
      <c r="E24" s="85"/>
      <c r="F24" s="85"/>
      <c r="G24" s="85"/>
      <c r="H24" s="86"/>
      <c r="I24" s="86"/>
      <c r="J24" s="85"/>
      <c r="K24" s="85"/>
      <c r="L24" s="85"/>
      <c r="M24" s="85"/>
      <c r="N24" s="86"/>
      <c r="O24" s="226">
        <v>1</v>
      </c>
      <c r="P24" s="226">
        <v>2</v>
      </c>
      <c r="Q24" s="267">
        <v>2</v>
      </c>
      <c r="R24" s="267">
        <v>0</v>
      </c>
      <c r="S24" s="293">
        <v>1</v>
      </c>
      <c r="T24" s="267">
        <v>2</v>
      </c>
      <c r="U24" s="457">
        <v>2</v>
      </c>
      <c r="V24" s="596">
        <v>2</v>
      </c>
      <c r="W24" s="235">
        <v>4</v>
      </c>
      <c r="X24" s="86">
        <v>3</v>
      </c>
      <c r="Y24" s="86">
        <v>0</v>
      </c>
      <c r="Z24" s="72">
        <v>1</v>
      </c>
      <c r="AA24" s="72">
        <v>2</v>
      </c>
      <c r="AB24" s="72">
        <v>3</v>
      </c>
      <c r="AC24" s="72">
        <v>1</v>
      </c>
      <c r="AD24" s="72">
        <v>1</v>
      </c>
      <c r="AE24" s="72">
        <v>2</v>
      </c>
      <c r="AF24" s="644">
        <v>4</v>
      </c>
      <c r="AG24" s="669" t="str">
        <f t="shared" si="7"/>
        <v xml:space="preserve"> </v>
      </c>
      <c r="AH24" s="187" t="str">
        <f t="shared" si="8"/>
        <v xml:space="preserve"> </v>
      </c>
      <c r="AI24" s="188" t="str">
        <f t="shared" si="9"/>
        <v xml:space="preserve"> </v>
      </c>
      <c r="AJ24" s="203">
        <f t="shared" si="10"/>
        <v>2.3333333333333335</v>
      </c>
    </row>
    <row r="25" spans="1:41" ht="12" x14ac:dyDescent="0.2">
      <c r="A25" s="313" t="s">
        <v>35</v>
      </c>
      <c r="B25" s="62"/>
      <c r="C25" s="62"/>
      <c r="D25" s="62"/>
      <c r="E25" s="62"/>
      <c r="F25" s="62"/>
      <c r="G25" s="62"/>
      <c r="H25" s="5"/>
      <c r="I25" s="5"/>
      <c r="J25" s="62"/>
      <c r="K25" s="62"/>
      <c r="L25" s="62"/>
      <c r="M25" s="62">
        <v>1</v>
      </c>
      <c r="N25" s="5">
        <v>4</v>
      </c>
      <c r="O25" s="220">
        <v>3</v>
      </c>
      <c r="P25" s="220">
        <v>6</v>
      </c>
      <c r="Q25" s="260">
        <v>17</v>
      </c>
      <c r="R25" s="260">
        <f>17+1</f>
        <v>18</v>
      </c>
      <c r="S25" s="289">
        <v>23</v>
      </c>
      <c r="T25" s="260">
        <v>21</v>
      </c>
      <c r="U25" s="451">
        <f>47+1</f>
        <v>48</v>
      </c>
      <c r="V25" s="594">
        <v>42</v>
      </c>
      <c r="W25" s="230">
        <f>42+2</f>
        <v>44</v>
      </c>
      <c r="X25" s="5">
        <v>40</v>
      </c>
      <c r="Y25" s="5">
        <v>53</v>
      </c>
      <c r="Z25" s="63">
        <v>47</v>
      </c>
      <c r="AA25" s="63">
        <v>49</v>
      </c>
      <c r="AB25" s="63">
        <v>51</v>
      </c>
      <c r="AC25" s="63">
        <v>38</v>
      </c>
      <c r="AD25" s="63">
        <v>33</v>
      </c>
      <c r="AE25" s="63">
        <v>24</v>
      </c>
      <c r="AF25" s="68">
        <f>19+1</f>
        <v>20</v>
      </c>
      <c r="AG25" s="668">
        <f t="shared" si="7"/>
        <v>-0.16666666666666666</v>
      </c>
      <c r="AH25" s="189">
        <f t="shared" si="8"/>
        <v>-0.59183673469387754</v>
      </c>
      <c r="AI25" s="190">
        <f t="shared" si="9"/>
        <v>-0.52380952380952384</v>
      </c>
      <c r="AJ25" s="105">
        <f t="shared" si="10"/>
        <v>25.666666666666668</v>
      </c>
    </row>
    <row r="26" spans="1:41" ht="12" x14ac:dyDescent="0.2">
      <c r="A26" s="313" t="s">
        <v>12</v>
      </c>
      <c r="B26" s="62">
        <v>3</v>
      </c>
      <c r="C26" s="62">
        <v>2</v>
      </c>
      <c r="D26" s="62">
        <v>1</v>
      </c>
      <c r="E26" s="62">
        <v>2</v>
      </c>
      <c r="F26" s="62">
        <v>1</v>
      </c>
      <c r="G26" s="62">
        <v>3</v>
      </c>
      <c r="H26" s="5">
        <v>1</v>
      </c>
      <c r="I26" s="5">
        <v>3</v>
      </c>
      <c r="J26" s="62">
        <v>5</v>
      </c>
      <c r="K26" s="62">
        <v>1</v>
      </c>
      <c r="L26" s="62">
        <v>5</v>
      </c>
      <c r="M26" s="62">
        <v>2</v>
      </c>
      <c r="N26" s="5">
        <v>1</v>
      </c>
      <c r="O26" s="220">
        <v>3</v>
      </c>
      <c r="P26" s="220">
        <v>2</v>
      </c>
      <c r="Q26" s="260">
        <v>0</v>
      </c>
      <c r="R26" s="260">
        <v>2</v>
      </c>
      <c r="S26" s="289">
        <v>2</v>
      </c>
      <c r="T26" s="260">
        <v>2</v>
      </c>
      <c r="U26" s="451">
        <v>1</v>
      </c>
      <c r="V26" s="594">
        <v>4</v>
      </c>
      <c r="W26" s="230">
        <f>3+3</f>
        <v>6</v>
      </c>
      <c r="X26" s="5">
        <v>1</v>
      </c>
      <c r="Y26" s="5">
        <v>4</v>
      </c>
      <c r="Z26" s="63">
        <v>5</v>
      </c>
      <c r="AA26" s="63">
        <v>3</v>
      </c>
      <c r="AB26" s="63">
        <v>5</v>
      </c>
      <c r="AC26" s="63">
        <v>3</v>
      </c>
      <c r="AD26" s="63">
        <v>3</v>
      </c>
      <c r="AE26" s="63">
        <v>3</v>
      </c>
      <c r="AF26" s="68">
        <v>1</v>
      </c>
      <c r="AG26" s="668" t="str">
        <f t="shared" si="7"/>
        <v xml:space="preserve"> </v>
      </c>
      <c r="AH26" s="189" t="str">
        <f t="shared" si="8"/>
        <v xml:space="preserve"> </v>
      </c>
      <c r="AI26" s="190" t="str">
        <f t="shared" si="9"/>
        <v xml:space="preserve"> </v>
      </c>
      <c r="AJ26" s="105">
        <f t="shared" si="10"/>
        <v>2.3333333333333335</v>
      </c>
    </row>
    <row r="27" spans="1:41" ht="12" x14ac:dyDescent="0.2">
      <c r="A27" s="313" t="s">
        <v>14</v>
      </c>
      <c r="B27" s="62">
        <v>43</v>
      </c>
      <c r="C27" s="62">
        <v>47</v>
      </c>
      <c r="D27" s="62">
        <v>50</v>
      </c>
      <c r="E27" s="62">
        <v>65</v>
      </c>
      <c r="F27" s="62">
        <v>47</v>
      </c>
      <c r="G27" s="62">
        <v>37</v>
      </c>
      <c r="H27" s="5">
        <v>33</v>
      </c>
      <c r="I27" s="5">
        <v>45</v>
      </c>
      <c r="J27" s="62">
        <v>52</v>
      </c>
      <c r="K27" s="62">
        <v>85</v>
      </c>
      <c r="L27" s="62">
        <v>72</v>
      </c>
      <c r="M27" s="62">
        <v>55</v>
      </c>
      <c r="N27" s="5">
        <v>67</v>
      </c>
      <c r="O27" s="220">
        <v>50</v>
      </c>
      <c r="P27" s="220">
        <v>60</v>
      </c>
      <c r="Q27" s="260">
        <v>70</v>
      </c>
      <c r="R27" s="260">
        <f>75+1</f>
        <v>76</v>
      </c>
      <c r="S27" s="289">
        <f>53+2</f>
        <v>55</v>
      </c>
      <c r="T27" s="260">
        <v>66</v>
      </c>
      <c r="U27" s="451">
        <f>50+3</f>
        <v>53</v>
      </c>
      <c r="V27" s="594">
        <v>47</v>
      </c>
      <c r="W27" s="230">
        <v>39</v>
      </c>
      <c r="X27" s="5">
        <v>42</v>
      </c>
      <c r="Y27" s="5">
        <v>46</v>
      </c>
      <c r="Z27" s="63">
        <v>37</v>
      </c>
      <c r="AA27" s="63">
        <v>31</v>
      </c>
      <c r="AB27" s="63">
        <v>35</v>
      </c>
      <c r="AC27" s="63">
        <v>35</v>
      </c>
      <c r="AD27" s="63">
        <v>35</v>
      </c>
      <c r="AE27" s="63">
        <v>23</v>
      </c>
      <c r="AF27" s="68">
        <v>30</v>
      </c>
      <c r="AG27" s="668">
        <f t="shared" si="7"/>
        <v>0.30434782608695654</v>
      </c>
      <c r="AH27" s="189">
        <f t="shared" si="8"/>
        <v>-3.2258064516129031E-2</v>
      </c>
      <c r="AI27" s="190">
        <f t="shared" si="9"/>
        <v>-0.36170212765957449</v>
      </c>
      <c r="AJ27" s="105">
        <f t="shared" si="10"/>
        <v>29.333333333333332</v>
      </c>
      <c r="AO27" s="316" t="s">
        <v>38</v>
      </c>
    </row>
    <row r="28" spans="1:41" ht="12" x14ac:dyDescent="0.2">
      <c r="A28" s="434" t="s">
        <v>91</v>
      </c>
      <c r="B28" s="65"/>
      <c r="C28" s="65"/>
      <c r="D28" s="65"/>
      <c r="E28" s="65"/>
      <c r="F28" s="65"/>
      <c r="G28" s="65"/>
      <c r="H28" s="6"/>
      <c r="I28" s="6">
        <v>26</v>
      </c>
      <c r="J28" s="65">
        <v>53</v>
      </c>
      <c r="K28" s="65">
        <v>63</v>
      </c>
      <c r="L28" s="65">
        <v>55</v>
      </c>
      <c r="M28" s="65">
        <v>58</v>
      </c>
      <c r="N28" s="6">
        <v>61</v>
      </c>
      <c r="O28" s="221">
        <v>71</v>
      </c>
      <c r="P28" s="221">
        <v>67</v>
      </c>
      <c r="Q28" s="261">
        <v>52</v>
      </c>
      <c r="R28" s="261">
        <v>66</v>
      </c>
      <c r="S28" s="290">
        <v>67</v>
      </c>
      <c r="T28" s="261">
        <v>53</v>
      </c>
      <c r="U28" s="452">
        <v>22</v>
      </c>
      <c r="V28" s="597">
        <v>26</v>
      </c>
      <c r="W28" s="231">
        <v>56</v>
      </c>
      <c r="X28" s="6">
        <v>64</v>
      </c>
      <c r="Y28" s="6">
        <v>54</v>
      </c>
      <c r="Z28" s="66">
        <v>21</v>
      </c>
      <c r="AA28" s="66">
        <v>25</v>
      </c>
      <c r="AB28" s="66">
        <v>14</v>
      </c>
      <c r="AC28" s="66">
        <v>15</v>
      </c>
      <c r="AD28" s="66">
        <v>28</v>
      </c>
      <c r="AE28" s="66">
        <v>20</v>
      </c>
      <c r="AF28" s="645">
        <f>15+1</f>
        <v>16</v>
      </c>
      <c r="AG28" s="670">
        <f t="shared" si="7"/>
        <v>-0.2</v>
      </c>
      <c r="AH28" s="191">
        <f t="shared" si="8"/>
        <v>-0.36</v>
      </c>
      <c r="AI28" s="192">
        <f t="shared" si="9"/>
        <v>-0.38461538461538464</v>
      </c>
      <c r="AJ28" s="204">
        <f t="shared" si="10"/>
        <v>21.333333333333332</v>
      </c>
      <c r="AO28" s="316"/>
    </row>
    <row r="29" spans="1:41" ht="12" x14ac:dyDescent="0.2">
      <c r="A29" s="435" t="s">
        <v>92</v>
      </c>
      <c r="B29" s="85"/>
      <c r="C29" s="85"/>
      <c r="D29" s="85"/>
      <c r="E29" s="85"/>
      <c r="F29" s="85"/>
      <c r="G29" s="85"/>
      <c r="H29" s="86"/>
      <c r="I29" s="86"/>
      <c r="J29" s="85"/>
      <c r="K29" s="85"/>
      <c r="L29" s="85"/>
      <c r="M29" s="85"/>
      <c r="N29" s="86"/>
      <c r="O29" s="226"/>
      <c r="P29" s="226"/>
      <c r="Q29" s="267"/>
      <c r="R29" s="267"/>
      <c r="S29" s="293"/>
      <c r="T29" s="267"/>
      <c r="U29" s="457">
        <v>29</v>
      </c>
      <c r="V29" s="596">
        <v>32</v>
      </c>
      <c r="W29" s="235"/>
      <c r="X29" s="86"/>
      <c r="Y29" s="86"/>
      <c r="Z29" s="72">
        <v>34</v>
      </c>
      <c r="AA29" s="72">
        <v>41</v>
      </c>
      <c r="AB29" s="72">
        <v>36</v>
      </c>
      <c r="AC29" s="72">
        <v>28</v>
      </c>
      <c r="AD29" s="72">
        <v>36</v>
      </c>
      <c r="AE29" s="72">
        <v>25</v>
      </c>
      <c r="AF29" s="644">
        <v>26</v>
      </c>
      <c r="AG29" s="669">
        <f t="shared" si="7"/>
        <v>0.04</v>
      </c>
      <c r="AH29" s="187">
        <f t="shared" si="8"/>
        <v>-0.36585365853658536</v>
      </c>
      <c r="AI29" s="188"/>
      <c r="AJ29" s="203">
        <f t="shared" si="10"/>
        <v>29</v>
      </c>
      <c r="AO29" s="316"/>
    </row>
    <row r="30" spans="1:41" ht="12" x14ac:dyDescent="0.2">
      <c r="A30" s="313" t="s">
        <v>15</v>
      </c>
      <c r="B30" s="62"/>
      <c r="C30" s="62"/>
      <c r="D30" s="62"/>
      <c r="E30" s="62"/>
      <c r="F30" s="62"/>
      <c r="G30" s="62"/>
      <c r="H30" s="5"/>
      <c r="I30" s="5"/>
      <c r="J30" s="62"/>
      <c r="K30" s="62"/>
      <c r="L30" s="62">
        <v>1</v>
      </c>
      <c r="M30" s="62">
        <v>6</v>
      </c>
      <c r="N30" s="5">
        <v>9</v>
      </c>
      <c r="O30" s="220">
        <v>12</v>
      </c>
      <c r="P30" s="220">
        <v>11</v>
      </c>
      <c r="Q30" s="260">
        <v>11</v>
      </c>
      <c r="R30" s="260">
        <f>21+2</f>
        <v>23</v>
      </c>
      <c r="S30" s="289">
        <f>25+2</f>
        <v>27</v>
      </c>
      <c r="T30" s="260">
        <v>16</v>
      </c>
      <c r="U30" s="451">
        <f>17+1</f>
        <v>18</v>
      </c>
      <c r="V30" s="594">
        <v>15</v>
      </c>
      <c r="W30" s="230">
        <f>12+1</f>
        <v>13</v>
      </c>
      <c r="X30" s="5">
        <v>15</v>
      </c>
      <c r="Y30" s="5">
        <v>17</v>
      </c>
      <c r="Z30" s="63">
        <v>19</v>
      </c>
      <c r="AA30" s="63">
        <v>23</v>
      </c>
      <c r="AB30" s="63">
        <v>13</v>
      </c>
      <c r="AC30" s="63">
        <v>12</v>
      </c>
      <c r="AD30" s="63">
        <v>12</v>
      </c>
      <c r="AE30" s="63">
        <v>9</v>
      </c>
      <c r="AF30" s="68">
        <v>4</v>
      </c>
      <c r="AG30" s="668" t="str">
        <f t="shared" si="7"/>
        <v xml:space="preserve"> </v>
      </c>
      <c r="AH30" s="189" t="str">
        <f t="shared" si="8"/>
        <v xml:space="preserve"> </v>
      </c>
      <c r="AI30" s="190" t="str">
        <f t="shared" si="9"/>
        <v xml:space="preserve"> </v>
      </c>
      <c r="AJ30" s="105">
        <f t="shared" si="10"/>
        <v>8.3333333333333339</v>
      </c>
      <c r="AO30" s="316" t="s">
        <v>39</v>
      </c>
    </row>
    <row r="31" spans="1:41" ht="12" x14ac:dyDescent="0.2">
      <c r="A31" s="317" t="s">
        <v>19</v>
      </c>
      <c r="B31" s="62">
        <v>2</v>
      </c>
      <c r="C31" s="62">
        <v>7</v>
      </c>
      <c r="D31" s="62">
        <v>6</v>
      </c>
      <c r="E31" s="62">
        <v>5</v>
      </c>
      <c r="F31" s="62">
        <v>4</v>
      </c>
      <c r="G31" s="62">
        <v>1</v>
      </c>
      <c r="H31" s="5">
        <v>5</v>
      </c>
      <c r="I31" s="5">
        <v>8</v>
      </c>
      <c r="J31" s="62">
        <v>9</v>
      </c>
      <c r="K31" s="62">
        <v>2</v>
      </c>
      <c r="L31" s="62">
        <v>5</v>
      </c>
      <c r="M31" s="62">
        <v>6</v>
      </c>
      <c r="N31" s="5">
        <v>2</v>
      </c>
      <c r="O31" s="220">
        <v>6</v>
      </c>
      <c r="P31" s="220">
        <v>7</v>
      </c>
      <c r="Q31" s="260">
        <v>9</v>
      </c>
      <c r="R31" s="260">
        <v>7</v>
      </c>
      <c r="S31" s="289">
        <v>10</v>
      </c>
      <c r="T31" s="260">
        <v>5</v>
      </c>
      <c r="U31" s="451">
        <v>9</v>
      </c>
      <c r="V31" s="594">
        <v>18</v>
      </c>
      <c r="W31" s="230">
        <v>8</v>
      </c>
      <c r="X31" s="5">
        <v>10</v>
      </c>
      <c r="Y31" s="5">
        <v>12</v>
      </c>
      <c r="Z31" s="63">
        <v>13</v>
      </c>
      <c r="AA31" s="63">
        <v>7</v>
      </c>
      <c r="AB31" s="63">
        <v>18</v>
      </c>
      <c r="AC31" s="63">
        <v>5</v>
      </c>
      <c r="AD31" s="63">
        <v>4</v>
      </c>
      <c r="AE31" s="63">
        <v>10</v>
      </c>
      <c r="AF31" s="68">
        <v>7</v>
      </c>
      <c r="AG31" s="668" t="str">
        <f t="shared" si="7"/>
        <v xml:space="preserve"> </v>
      </c>
      <c r="AH31" s="189" t="str">
        <f t="shared" si="8"/>
        <v xml:space="preserve"> </v>
      </c>
      <c r="AI31" s="190" t="str">
        <f t="shared" si="9"/>
        <v xml:space="preserve"> </v>
      </c>
      <c r="AJ31" s="105">
        <f t="shared" si="10"/>
        <v>7</v>
      </c>
    </row>
    <row r="32" spans="1:41" ht="12" x14ac:dyDescent="0.2">
      <c r="A32" s="317" t="s">
        <v>20</v>
      </c>
      <c r="B32" s="62">
        <v>11</v>
      </c>
      <c r="C32" s="62">
        <v>7</v>
      </c>
      <c r="D32" s="62">
        <v>10</v>
      </c>
      <c r="E32" s="62">
        <v>11</v>
      </c>
      <c r="F32" s="62">
        <v>12</v>
      </c>
      <c r="G32" s="62">
        <v>6</v>
      </c>
      <c r="H32" s="5">
        <v>9</v>
      </c>
      <c r="I32" s="5">
        <v>22</v>
      </c>
      <c r="J32" s="62">
        <v>16</v>
      </c>
      <c r="K32" s="62">
        <v>17</v>
      </c>
      <c r="L32" s="62">
        <v>4</v>
      </c>
      <c r="M32" s="62">
        <v>18</v>
      </c>
      <c r="N32" s="5">
        <v>14</v>
      </c>
      <c r="O32" s="220">
        <v>19</v>
      </c>
      <c r="P32" s="220">
        <v>14</v>
      </c>
      <c r="Q32" s="260">
        <v>14</v>
      </c>
      <c r="R32" s="260">
        <v>12</v>
      </c>
      <c r="S32" s="289">
        <f>7+1</f>
        <v>8</v>
      </c>
      <c r="T32" s="260">
        <v>9</v>
      </c>
      <c r="U32" s="451">
        <v>11</v>
      </c>
      <c r="V32" s="594">
        <v>8</v>
      </c>
      <c r="W32" s="230">
        <f>1+1</f>
        <v>2</v>
      </c>
      <c r="X32" s="5">
        <v>5</v>
      </c>
      <c r="Y32" s="5">
        <v>4</v>
      </c>
      <c r="Z32" s="63">
        <v>7</v>
      </c>
      <c r="AA32" s="63">
        <v>3</v>
      </c>
      <c r="AB32" s="63">
        <v>5</v>
      </c>
      <c r="AC32" s="63">
        <v>3</v>
      </c>
      <c r="AD32" s="63">
        <v>10</v>
      </c>
      <c r="AE32" s="63">
        <v>12</v>
      </c>
      <c r="AF32" s="68">
        <f>3+1</f>
        <v>4</v>
      </c>
      <c r="AG32" s="668" t="str">
        <f t="shared" si="7"/>
        <v xml:space="preserve"> </v>
      </c>
      <c r="AH32" s="189" t="str">
        <f t="shared" si="8"/>
        <v xml:space="preserve"> </v>
      </c>
      <c r="AI32" s="190" t="str">
        <f t="shared" si="9"/>
        <v xml:space="preserve"> </v>
      </c>
      <c r="AJ32" s="105">
        <f t="shared" si="10"/>
        <v>8.6666666666666661</v>
      </c>
    </row>
    <row r="33" spans="1:170" ht="12" x14ac:dyDescent="0.2">
      <c r="A33" s="307" t="s">
        <v>23</v>
      </c>
      <c r="B33" s="65">
        <v>22</v>
      </c>
      <c r="C33" s="65">
        <v>27</v>
      </c>
      <c r="D33" s="65">
        <v>27</v>
      </c>
      <c r="E33" s="65">
        <v>25</v>
      </c>
      <c r="F33" s="65">
        <v>25</v>
      </c>
      <c r="G33" s="65">
        <v>28</v>
      </c>
      <c r="H33" s="6">
        <v>33</v>
      </c>
      <c r="I33" s="6">
        <v>25</v>
      </c>
      <c r="J33" s="65">
        <v>25</v>
      </c>
      <c r="K33" s="65">
        <v>25</v>
      </c>
      <c r="L33" s="65">
        <v>31</v>
      </c>
      <c r="M33" s="65">
        <v>30</v>
      </c>
      <c r="N33" s="6">
        <v>33</v>
      </c>
      <c r="O33" s="221">
        <v>26</v>
      </c>
      <c r="P33" s="221">
        <v>32</v>
      </c>
      <c r="Q33" s="261">
        <v>28</v>
      </c>
      <c r="R33" s="261">
        <v>34</v>
      </c>
      <c r="S33" s="290">
        <f>34+1</f>
        <v>35</v>
      </c>
      <c r="T33" s="261">
        <v>37</v>
      </c>
      <c r="U33" s="452">
        <f>33+1</f>
        <v>34</v>
      </c>
      <c r="V33" s="597">
        <v>33</v>
      </c>
      <c r="W33" s="231">
        <f>20+1</f>
        <v>21</v>
      </c>
      <c r="X33" s="6">
        <v>23</v>
      </c>
      <c r="Y33" s="6">
        <v>38</v>
      </c>
      <c r="Z33" s="66">
        <v>34</v>
      </c>
      <c r="AA33" s="66">
        <v>32</v>
      </c>
      <c r="AB33" s="66">
        <v>37</v>
      </c>
      <c r="AC33" s="66">
        <v>17</v>
      </c>
      <c r="AD33" s="66">
        <v>26</v>
      </c>
      <c r="AE33" s="66">
        <v>25</v>
      </c>
      <c r="AF33" s="645">
        <f>23+1</f>
        <v>24</v>
      </c>
      <c r="AG33" s="670">
        <f t="shared" si="7"/>
        <v>-0.04</v>
      </c>
      <c r="AH33" s="191">
        <f t="shared" si="8"/>
        <v>-0.25</v>
      </c>
      <c r="AI33" s="192">
        <f t="shared" si="9"/>
        <v>-0.27272727272727271</v>
      </c>
      <c r="AJ33" s="204">
        <f t="shared" si="10"/>
        <v>25</v>
      </c>
    </row>
    <row r="34" spans="1:170" ht="12" x14ac:dyDescent="0.2">
      <c r="A34" s="317" t="s">
        <v>24</v>
      </c>
      <c r="B34" s="62">
        <v>67</v>
      </c>
      <c r="C34" s="62">
        <v>74</v>
      </c>
      <c r="D34" s="62">
        <v>67</v>
      </c>
      <c r="E34" s="62">
        <v>81</v>
      </c>
      <c r="F34" s="62">
        <v>67</v>
      </c>
      <c r="G34" s="62">
        <v>71</v>
      </c>
      <c r="H34" s="5">
        <v>85</v>
      </c>
      <c r="I34" s="5">
        <v>79</v>
      </c>
      <c r="J34" s="62">
        <v>58</v>
      </c>
      <c r="K34" s="62">
        <v>84</v>
      </c>
      <c r="L34" s="62">
        <v>78</v>
      </c>
      <c r="M34" s="62">
        <v>71</v>
      </c>
      <c r="N34" s="5">
        <v>91</v>
      </c>
      <c r="O34" s="220">
        <v>106</v>
      </c>
      <c r="P34" s="220">
        <v>99</v>
      </c>
      <c r="Q34" s="260">
        <v>117</v>
      </c>
      <c r="R34" s="260">
        <v>120</v>
      </c>
      <c r="S34" s="289">
        <f>119+1</f>
        <v>120</v>
      </c>
      <c r="T34" s="260">
        <v>165</v>
      </c>
      <c r="U34" s="451">
        <f>121+4</f>
        <v>125</v>
      </c>
      <c r="V34" s="594">
        <v>144</v>
      </c>
      <c r="W34" s="230">
        <f>135+5</f>
        <v>140</v>
      </c>
      <c r="X34" s="5">
        <v>137</v>
      </c>
      <c r="Y34" s="5">
        <v>118</v>
      </c>
      <c r="Z34" s="63">
        <v>138</v>
      </c>
      <c r="AA34" s="63">
        <v>113</v>
      </c>
      <c r="AB34" s="63">
        <v>155</v>
      </c>
      <c r="AC34" s="63">
        <v>143</v>
      </c>
      <c r="AD34" s="63">
        <v>126</v>
      </c>
      <c r="AE34" s="63">
        <v>106</v>
      </c>
      <c r="AF34" s="68">
        <f>82+3</f>
        <v>85</v>
      </c>
      <c r="AG34" s="668">
        <f t="shared" si="7"/>
        <v>-0.19811320754716982</v>
      </c>
      <c r="AH34" s="189">
        <f t="shared" si="8"/>
        <v>-0.24778761061946902</v>
      </c>
      <c r="AI34" s="190">
        <f t="shared" si="9"/>
        <v>-0.40972222222222221</v>
      </c>
      <c r="AJ34" s="105">
        <f t="shared" si="10"/>
        <v>105.66666666666667</v>
      </c>
    </row>
    <row r="35" spans="1:170" ht="12" x14ac:dyDescent="0.2">
      <c r="A35" s="317" t="s">
        <v>26</v>
      </c>
      <c r="B35" s="62">
        <v>16</v>
      </c>
      <c r="C35" s="62">
        <v>16</v>
      </c>
      <c r="D35" s="62">
        <v>17</v>
      </c>
      <c r="E35" s="62">
        <v>16</v>
      </c>
      <c r="F35" s="62">
        <v>8</v>
      </c>
      <c r="G35" s="62">
        <v>16</v>
      </c>
      <c r="H35" s="5">
        <v>16</v>
      </c>
      <c r="I35" s="5">
        <v>12</v>
      </c>
      <c r="J35" s="62">
        <v>7</v>
      </c>
      <c r="K35" s="62">
        <v>5</v>
      </c>
      <c r="L35" s="62">
        <v>10</v>
      </c>
      <c r="M35" s="62">
        <v>7</v>
      </c>
      <c r="N35" s="5">
        <v>9</v>
      </c>
      <c r="O35" s="220">
        <v>11</v>
      </c>
      <c r="P35" s="220">
        <v>18</v>
      </c>
      <c r="Q35" s="260">
        <v>15</v>
      </c>
      <c r="R35" s="260">
        <v>21</v>
      </c>
      <c r="S35" s="289">
        <v>16</v>
      </c>
      <c r="T35" s="260">
        <v>12</v>
      </c>
      <c r="U35" s="451">
        <v>9</v>
      </c>
      <c r="V35" s="594">
        <v>20</v>
      </c>
      <c r="W35" s="230">
        <v>18</v>
      </c>
      <c r="X35" s="5">
        <v>13</v>
      </c>
      <c r="Y35" s="5">
        <v>17</v>
      </c>
      <c r="Z35" s="63">
        <v>14</v>
      </c>
      <c r="AA35" s="63">
        <v>11</v>
      </c>
      <c r="AB35" s="63">
        <v>23</v>
      </c>
      <c r="AC35" s="63">
        <v>11</v>
      </c>
      <c r="AD35" s="63">
        <v>15</v>
      </c>
      <c r="AE35" s="63">
        <v>8</v>
      </c>
      <c r="AF35" s="68">
        <v>7</v>
      </c>
      <c r="AG35" s="668" t="str">
        <f t="shared" si="7"/>
        <v xml:space="preserve"> </v>
      </c>
      <c r="AH35" s="189" t="str">
        <f t="shared" si="8"/>
        <v xml:space="preserve"> </v>
      </c>
      <c r="AI35" s="190" t="str">
        <f t="shared" si="9"/>
        <v xml:space="preserve"> </v>
      </c>
      <c r="AJ35" s="105">
        <f t="shared" si="10"/>
        <v>10</v>
      </c>
    </row>
    <row r="36" spans="1:170" ht="12" x14ac:dyDescent="0.2">
      <c r="A36" s="317" t="s">
        <v>27</v>
      </c>
      <c r="B36" s="62">
        <v>1</v>
      </c>
      <c r="C36" s="62">
        <v>0</v>
      </c>
      <c r="D36" s="62">
        <v>3</v>
      </c>
      <c r="E36" s="62">
        <v>5</v>
      </c>
      <c r="F36" s="62">
        <v>4</v>
      </c>
      <c r="G36" s="62">
        <v>6</v>
      </c>
      <c r="H36" s="5">
        <v>8</v>
      </c>
      <c r="I36" s="5">
        <v>12</v>
      </c>
      <c r="J36" s="62">
        <v>13</v>
      </c>
      <c r="K36" s="62">
        <v>8</v>
      </c>
      <c r="L36" s="62">
        <v>11</v>
      </c>
      <c r="M36" s="62">
        <v>16</v>
      </c>
      <c r="N36" s="5">
        <v>27</v>
      </c>
      <c r="O36" s="220">
        <v>17</v>
      </c>
      <c r="P36" s="220">
        <v>12</v>
      </c>
      <c r="Q36" s="260">
        <v>11</v>
      </c>
      <c r="R36" s="260">
        <v>6</v>
      </c>
      <c r="S36" s="289">
        <f>6+7</f>
        <v>13</v>
      </c>
      <c r="T36" s="260">
        <v>13</v>
      </c>
      <c r="U36" s="451">
        <f>9+2</f>
        <v>11</v>
      </c>
      <c r="V36" s="594">
        <v>11</v>
      </c>
      <c r="W36" s="230">
        <f>9+5</f>
        <v>14</v>
      </c>
      <c r="X36" s="5">
        <v>7</v>
      </c>
      <c r="Y36" s="5">
        <v>9</v>
      </c>
      <c r="Z36" s="63">
        <v>6</v>
      </c>
      <c r="AA36" s="63">
        <v>7</v>
      </c>
      <c r="AB36" s="63">
        <v>10</v>
      </c>
      <c r="AC36" s="63">
        <v>6</v>
      </c>
      <c r="AD36" s="63">
        <v>4</v>
      </c>
      <c r="AE36" s="63">
        <v>4</v>
      </c>
      <c r="AF36" s="68">
        <f>3+5</f>
        <v>8</v>
      </c>
      <c r="AG36" s="668" t="str">
        <f t="shared" si="7"/>
        <v xml:space="preserve"> </v>
      </c>
      <c r="AH36" s="189" t="str">
        <f t="shared" si="8"/>
        <v xml:space="preserve"> </v>
      </c>
      <c r="AI36" s="190" t="str">
        <f t="shared" si="9"/>
        <v xml:space="preserve"> </v>
      </c>
      <c r="AJ36" s="105">
        <f t="shared" si="10"/>
        <v>5.333333333333333</v>
      </c>
    </row>
    <row r="37" spans="1:170" ht="12" x14ac:dyDescent="0.2">
      <c r="A37" s="317" t="s">
        <v>28</v>
      </c>
      <c r="B37" s="62"/>
      <c r="C37" s="62"/>
      <c r="D37" s="62"/>
      <c r="E37" s="62"/>
      <c r="F37" s="62"/>
      <c r="G37" s="62"/>
      <c r="H37" s="5"/>
      <c r="I37" s="5">
        <v>2</v>
      </c>
      <c r="J37" s="62">
        <v>6</v>
      </c>
      <c r="K37" s="62">
        <v>1</v>
      </c>
      <c r="L37" s="62">
        <v>5</v>
      </c>
      <c r="M37" s="62">
        <v>7</v>
      </c>
      <c r="N37" s="5">
        <v>5</v>
      </c>
      <c r="O37" s="220">
        <v>8</v>
      </c>
      <c r="P37" s="220">
        <v>9</v>
      </c>
      <c r="Q37" s="260">
        <v>4</v>
      </c>
      <c r="R37" s="260">
        <v>8</v>
      </c>
      <c r="S37" s="289">
        <v>6</v>
      </c>
      <c r="T37" s="260">
        <v>10</v>
      </c>
      <c r="U37" s="451">
        <v>12</v>
      </c>
      <c r="V37" s="594">
        <v>8</v>
      </c>
      <c r="W37" s="230">
        <v>5</v>
      </c>
      <c r="X37" s="5">
        <v>12</v>
      </c>
      <c r="Y37" s="5">
        <v>6</v>
      </c>
      <c r="Z37" s="63">
        <v>14</v>
      </c>
      <c r="AA37" s="63">
        <v>7</v>
      </c>
      <c r="AB37" s="63">
        <v>10</v>
      </c>
      <c r="AC37" s="63">
        <v>4</v>
      </c>
      <c r="AD37" s="63">
        <v>7</v>
      </c>
      <c r="AE37" s="63">
        <v>2</v>
      </c>
      <c r="AF37" s="68">
        <f>5+1</f>
        <v>6</v>
      </c>
      <c r="AG37" s="668" t="str">
        <f t="shared" si="7"/>
        <v xml:space="preserve"> </v>
      </c>
      <c r="AH37" s="189" t="str">
        <f t="shared" si="8"/>
        <v xml:space="preserve"> </v>
      </c>
      <c r="AI37" s="190" t="str">
        <f t="shared" si="9"/>
        <v xml:space="preserve"> </v>
      </c>
      <c r="AJ37" s="105">
        <f t="shared" si="10"/>
        <v>5</v>
      </c>
    </row>
    <row r="38" spans="1:170" ht="13.5" hidden="1" x14ac:dyDescent="0.2">
      <c r="A38" s="317" t="s">
        <v>81</v>
      </c>
      <c r="B38" s="62">
        <v>7</v>
      </c>
      <c r="C38" s="62">
        <v>4</v>
      </c>
      <c r="D38" s="62"/>
      <c r="E38" s="62"/>
      <c r="F38" s="62"/>
      <c r="G38" s="62"/>
      <c r="H38" s="5"/>
      <c r="I38" s="5"/>
      <c r="J38" s="62"/>
      <c r="K38" s="62"/>
      <c r="L38" s="62"/>
      <c r="M38" s="62"/>
      <c r="N38" s="5"/>
      <c r="O38" s="220"/>
      <c r="P38" s="220"/>
      <c r="Q38" s="260"/>
      <c r="R38" s="260"/>
      <c r="S38" s="289"/>
      <c r="T38" s="260"/>
      <c r="U38" s="451"/>
      <c r="V38" s="594"/>
      <c r="W38" s="230"/>
      <c r="X38" s="5"/>
      <c r="Y38" s="5"/>
      <c r="Z38" s="64"/>
      <c r="AA38" s="64"/>
      <c r="AB38" s="64"/>
      <c r="AC38" s="64"/>
      <c r="AD38" s="64"/>
      <c r="AE38" s="64"/>
      <c r="AF38" s="68"/>
      <c r="AG38" s="675" t="str">
        <f t="shared" si="7"/>
        <v xml:space="preserve"> </v>
      </c>
      <c r="AH38" s="69" t="str">
        <f t="shared" si="8"/>
        <v xml:space="preserve"> </v>
      </c>
      <c r="AI38" s="71" t="str">
        <f t="shared" si="9"/>
        <v xml:space="preserve"> </v>
      </c>
      <c r="AJ38" s="70" t="str">
        <f t="shared" si="10"/>
        <v xml:space="preserve">  </v>
      </c>
    </row>
    <row r="39" spans="1:170" s="15" customFormat="1" ht="12.75" thickBot="1" x14ac:dyDescent="0.25">
      <c r="A39" s="318" t="s">
        <v>50</v>
      </c>
      <c r="B39" s="55">
        <f t="shared" ref="B39:AD39" si="11">SUM(B19:B38)</f>
        <v>312</v>
      </c>
      <c r="C39" s="55">
        <f t="shared" si="11"/>
        <v>344</v>
      </c>
      <c r="D39" s="55">
        <f t="shared" si="11"/>
        <v>335</v>
      </c>
      <c r="E39" s="55">
        <f t="shared" si="11"/>
        <v>359</v>
      </c>
      <c r="F39" s="55">
        <f t="shared" si="11"/>
        <v>334</v>
      </c>
      <c r="G39" s="55">
        <f t="shared" si="11"/>
        <v>320</v>
      </c>
      <c r="H39" s="55">
        <f t="shared" si="11"/>
        <v>383</v>
      </c>
      <c r="I39" s="55">
        <f t="shared" si="11"/>
        <v>431</v>
      </c>
      <c r="J39" s="55">
        <f t="shared" si="11"/>
        <v>476</v>
      </c>
      <c r="K39" s="55">
        <f t="shared" si="11"/>
        <v>539</v>
      </c>
      <c r="L39" s="55">
        <f t="shared" si="11"/>
        <v>512</v>
      </c>
      <c r="M39" s="55">
        <f t="shared" si="11"/>
        <v>526</v>
      </c>
      <c r="N39" s="55">
        <f t="shared" si="11"/>
        <v>567</v>
      </c>
      <c r="O39" s="227">
        <f t="shared" si="11"/>
        <v>616</v>
      </c>
      <c r="P39" s="227">
        <f t="shared" si="11"/>
        <v>623</v>
      </c>
      <c r="Q39" s="268">
        <f t="shared" si="11"/>
        <v>662</v>
      </c>
      <c r="R39" s="268">
        <f t="shared" si="11"/>
        <v>678</v>
      </c>
      <c r="S39" s="268">
        <f t="shared" si="11"/>
        <v>716</v>
      </c>
      <c r="T39" s="268">
        <f t="shared" si="11"/>
        <v>769</v>
      </c>
      <c r="U39" s="458">
        <f t="shared" si="11"/>
        <v>705</v>
      </c>
      <c r="V39" s="602">
        <f t="shared" si="11"/>
        <v>729</v>
      </c>
      <c r="W39" s="153">
        <f t="shared" si="11"/>
        <v>678</v>
      </c>
      <c r="X39" s="55">
        <f t="shared" si="11"/>
        <v>673</v>
      </c>
      <c r="Y39" s="55">
        <f t="shared" si="11"/>
        <v>657</v>
      </c>
      <c r="Z39" s="55">
        <f t="shared" si="11"/>
        <v>638</v>
      </c>
      <c r="AA39" s="55">
        <f t="shared" si="11"/>
        <v>664</v>
      </c>
      <c r="AB39" s="55">
        <f t="shared" si="11"/>
        <v>692</v>
      </c>
      <c r="AC39" s="55">
        <f t="shared" si="11"/>
        <v>575</v>
      </c>
      <c r="AD39" s="55">
        <f t="shared" si="11"/>
        <v>554</v>
      </c>
      <c r="AE39" s="55">
        <f>SUM(AE19:AE38)</f>
        <v>463</v>
      </c>
      <c r="AF39" s="227">
        <f>SUM(AF19:AF38)</f>
        <v>433</v>
      </c>
      <c r="AG39" s="676">
        <f t="shared" si="7"/>
        <v>-6.4794816414686832E-2</v>
      </c>
      <c r="AH39" s="87">
        <f t="shared" si="8"/>
        <v>-0.34789156626506024</v>
      </c>
      <c r="AI39" s="88">
        <f t="shared" si="9"/>
        <v>-0.40603566529492457</v>
      </c>
      <c r="AJ39" s="55">
        <f t="shared" si="10"/>
        <v>483.33333333333331</v>
      </c>
      <c r="AK39" s="73"/>
      <c r="AL39" s="75"/>
      <c r="AM39" s="75"/>
      <c r="AN39" s="75"/>
      <c r="AO39" s="75"/>
      <c r="AP39" s="75"/>
      <c r="AQ39" s="75"/>
      <c r="AR39" s="75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</row>
    <row r="40" spans="1:170" ht="13.5" thickTop="1" x14ac:dyDescent="0.2">
      <c r="A40" s="319" t="s">
        <v>51</v>
      </c>
      <c r="B40" s="16"/>
      <c r="C40" s="17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/>
      <c r="AI40" s="164"/>
      <c r="AJ40" s="21"/>
    </row>
    <row r="41" spans="1:170" ht="12" x14ac:dyDescent="0.2">
      <c r="A41" s="433" t="s">
        <v>2</v>
      </c>
      <c r="B41" s="84">
        <v>78</v>
      </c>
      <c r="C41" s="84">
        <v>82</v>
      </c>
      <c r="D41" s="84">
        <v>104</v>
      </c>
      <c r="E41" s="84">
        <v>132</v>
      </c>
      <c r="F41" s="84">
        <v>106</v>
      </c>
      <c r="G41" s="84">
        <v>92</v>
      </c>
      <c r="H41" s="77">
        <v>92</v>
      </c>
      <c r="I41" s="77">
        <v>90</v>
      </c>
      <c r="J41" s="84">
        <v>104</v>
      </c>
      <c r="K41" s="84">
        <v>71</v>
      </c>
      <c r="L41" s="84">
        <v>82</v>
      </c>
      <c r="M41" s="84">
        <v>82</v>
      </c>
      <c r="N41" s="77">
        <v>91</v>
      </c>
      <c r="O41" s="219">
        <v>91</v>
      </c>
      <c r="P41" s="219">
        <v>85</v>
      </c>
      <c r="Q41" s="266">
        <v>93</v>
      </c>
      <c r="R41" s="266">
        <f>107+2</f>
        <v>109</v>
      </c>
      <c r="S41" s="288">
        <f>90+4</f>
        <v>94</v>
      </c>
      <c r="T41" s="266">
        <v>107</v>
      </c>
      <c r="U41" s="450">
        <v>110</v>
      </c>
      <c r="V41" s="593">
        <v>119</v>
      </c>
      <c r="W41" s="234">
        <v>119</v>
      </c>
      <c r="X41" s="77">
        <v>109</v>
      </c>
      <c r="Y41" s="77">
        <v>107</v>
      </c>
      <c r="Z41" s="76">
        <v>104</v>
      </c>
      <c r="AA41" s="76">
        <v>102</v>
      </c>
      <c r="AB41" s="76">
        <v>91</v>
      </c>
      <c r="AC41" s="76">
        <v>88</v>
      </c>
      <c r="AD41" s="76">
        <v>64</v>
      </c>
      <c r="AE41" s="76">
        <v>82</v>
      </c>
      <c r="AF41" s="649">
        <v>58</v>
      </c>
      <c r="AG41" s="674">
        <f t="shared" ref="AG41:AG54" si="12">IF(AF41=0," ",IF(AJ41&gt;20,(AF41-AE41)/AE41," "))</f>
        <v>-0.29268292682926828</v>
      </c>
      <c r="AH41" s="284">
        <f t="shared" ref="AH41:AH54" si="13">IF(AF41=0," ",IF(AJ41&gt;20,(AF41-AA41)/AA41," "))</f>
        <v>-0.43137254901960786</v>
      </c>
      <c r="AI41" s="285">
        <f t="shared" ref="AI41:AI54" si="14">IF(AF41=0," ",(IF(AJ41&gt;20,(AF41-V41)/V41," ")))</f>
        <v>-0.51260504201680668</v>
      </c>
      <c r="AJ41" s="205">
        <f t="shared" ref="AJ41:AJ54" si="15">IF(AD41&gt;0,AVERAGE(AD41:AF41),"  ")</f>
        <v>68</v>
      </c>
    </row>
    <row r="42" spans="1:170" ht="12" x14ac:dyDescent="0.2">
      <c r="A42" s="320" t="s">
        <v>3</v>
      </c>
      <c r="B42" s="62">
        <v>11</v>
      </c>
      <c r="C42" s="62">
        <v>4</v>
      </c>
      <c r="D42" s="62">
        <v>9</v>
      </c>
      <c r="E42" s="62">
        <v>10</v>
      </c>
      <c r="F42" s="62">
        <v>11</v>
      </c>
      <c r="G42" s="62">
        <v>6</v>
      </c>
      <c r="H42" s="5">
        <v>13</v>
      </c>
      <c r="I42" s="5">
        <v>12</v>
      </c>
      <c r="J42" s="62">
        <v>10</v>
      </c>
      <c r="K42" s="62">
        <v>7</v>
      </c>
      <c r="L42" s="62">
        <v>12</v>
      </c>
      <c r="M42" s="62">
        <v>8</v>
      </c>
      <c r="N42" s="5">
        <v>9</v>
      </c>
      <c r="O42" s="220">
        <v>12</v>
      </c>
      <c r="P42" s="220">
        <v>10</v>
      </c>
      <c r="Q42" s="260">
        <v>11</v>
      </c>
      <c r="R42" s="260">
        <v>7</v>
      </c>
      <c r="S42" s="289">
        <v>13</v>
      </c>
      <c r="T42" s="260">
        <v>10</v>
      </c>
      <c r="U42" s="451">
        <v>14</v>
      </c>
      <c r="V42" s="594">
        <v>15</v>
      </c>
      <c r="W42" s="230">
        <v>20</v>
      </c>
      <c r="X42" s="5">
        <v>14</v>
      </c>
      <c r="Y42" s="5">
        <v>15</v>
      </c>
      <c r="Z42" s="63">
        <v>20</v>
      </c>
      <c r="AA42" s="63">
        <v>24</v>
      </c>
      <c r="AB42" s="63">
        <v>14</v>
      </c>
      <c r="AC42" s="63">
        <v>17</v>
      </c>
      <c r="AD42" s="63">
        <v>13</v>
      </c>
      <c r="AE42" s="63">
        <v>9</v>
      </c>
      <c r="AF42" s="68">
        <v>10</v>
      </c>
      <c r="AG42" s="668" t="str">
        <f t="shared" si="12"/>
        <v xml:space="preserve"> </v>
      </c>
      <c r="AH42" s="189" t="str">
        <f t="shared" si="13"/>
        <v xml:space="preserve"> </v>
      </c>
      <c r="AI42" s="190" t="str">
        <f t="shared" si="14"/>
        <v xml:space="preserve"> </v>
      </c>
      <c r="AJ42" s="105">
        <f t="shared" si="15"/>
        <v>10.666666666666666</v>
      </c>
    </row>
    <row r="43" spans="1:170" x14ac:dyDescent="0.2">
      <c r="A43" s="320" t="s">
        <v>4</v>
      </c>
      <c r="B43" s="62">
        <v>0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5">
        <v>1</v>
      </c>
      <c r="I43" s="5">
        <v>11</v>
      </c>
      <c r="J43" s="62">
        <v>6</v>
      </c>
      <c r="K43" s="62">
        <v>15</v>
      </c>
      <c r="L43" s="62">
        <v>15</v>
      </c>
      <c r="M43" s="62">
        <v>18</v>
      </c>
      <c r="N43" s="5">
        <v>10</v>
      </c>
      <c r="O43" s="220">
        <v>6</v>
      </c>
      <c r="P43" s="220">
        <v>16</v>
      </c>
      <c r="Q43" s="260">
        <v>9</v>
      </c>
      <c r="R43" s="260">
        <f>17+1</f>
        <v>18</v>
      </c>
      <c r="S43" s="289">
        <v>17</v>
      </c>
      <c r="T43" s="260">
        <v>11</v>
      </c>
      <c r="U43" s="451">
        <v>15</v>
      </c>
      <c r="V43" s="594">
        <v>26</v>
      </c>
      <c r="W43" s="230">
        <v>25</v>
      </c>
      <c r="X43" s="5">
        <v>31</v>
      </c>
      <c r="Y43" s="5">
        <v>36</v>
      </c>
      <c r="Z43" s="63">
        <v>36</v>
      </c>
      <c r="AA43" s="63">
        <v>39</v>
      </c>
      <c r="AB43" s="63">
        <v>26</v>
      </c>
      <c r="AC43" s="63">
        <v>29</v>
      </c>
      <c r="AD43" s="63">
        <v>31</v>
      </c>
      <c r="AE43" s="63">
        <v>27</v>
      </c>
      <c r="AF43" s="68">
        <v>32</v>
      </c>
      <c r="AG43" s="668">
        <f t="shared" si="12"/>
        <v>0.18518518518518517</v>
      </c>
      <c r="AH43" s="189">
        <f t="shared" si="13"/>
        <v>-0.17948717948717949</v>
      </c>
      <c r="AI43" s="190">
        <f t="shared" si="14"/>
        <v>0.23076923076923078</v>
      </c>
      <c r="AJ43" s="105">
        <f t="shared" si="15"/>
        <v>30</v>
      </c>
    </row>
    <row r="44" spans="1:170" ht="12" x14ac:dyDescent="0.2">
      <c r="A44" s="320" t="s">
        <v>93</v>
      </c>
      <c r="B44" s="62"/>
      <c r="C44" s="62"/>
      <c r="D44" s="62"/>
      <c r="E44" s="62"/>
      <c r="F44" s="62"/>
      <c r="G44" s="62"/>
      <c r="H44" s="5"/>
      <c r="I44" s="5"/>
      <c r="J44" s="62"/>
      <c r="K44" s="62"/>
      <c r="L44" s="62"/>
      <c r="M44" s="62"/>
      <c r="N44" s="5"/>
      <c r="O44" s="220"/>
      <c r="P44" s="220"/>
      <c r="Q44" s="260"/>
      <c r="R44" s="260"/>
      <c r="S44" s="289"/>
      <c r="T44" s="260">
        <v>0</v>
      </c>
      <c r="U44" s="436"/>
      <c r="V44" s="603"/>
      <c r="W44" s="486"/>
      <c r="X44" s="486"/>
      <c r="Y44" s="486"/>
      <c r="Z44" s="486"/>
      <c r="AA44" s="486"/>
      <c r="AB44" s="486"/>
      <c r="AC44" s="484"/>
      <c r="AD44" s="63">
        <v>4</v>
      </c>
      <c r="AE44" s="63">
        <v>9</v>
      </c>
      <c r="AF44" s="68">
        <f>4+1</f>
        <v>5</v>
      </c>
      <c r="AG44" s="668" t="str">
        <f t="shared" si="12"/>
        <v xml:space="preserve"> </v>
      </c>
      <c r="AH44" s="189" t="str">
        <f t="shared" si="13"/>
        <v xml:space="preserve"> </v>
      </c>
      <c r="AI44" s="190" t="str">
        <f t="shared" si="14"/>
        <v xml:space="preserve"> </v>
      </c>
      <c r="AJ44" s="105">
        <f t="shared" si="15"/>
        <v>6</v>
      </c>
    </row>
    <row r="45" spans="1:170" ht="12" x14ac:dyDescent="0.2">
      <c r="A45" s="525" t="s">
        <v>37</v>
      </c>
      <c r="B45" s="65"/>
      <c r="C45" s="65"/>
      <c r="D45" s="65"/>
      <c r="E45" s="65"/>
      <c r="F45" s="65"/>
      <c r="G45" s="65">
        <v>0</v>
      </c>
      <c r="H45" s="6"/>
      <c r="I45" s="6"/>
      <c r="J45" s="65"/>
      <c r="K45" s="65"/>
      <c r="L45" s="65"/>
      <c r="M45" s="65">
        <v>0</v>
      </c>
      <c r="N45" s="6">
        <v>0</v>
      </c>
      <c r="O45" s="221">
        <v>0</v>
      </c>
      <c r="P45" s="221">
        <v>0</v>
      </c>
      <c r="Q45" s="261">
        <v>1</v>
      </c>
      <c r="R45" s="261">
        <v>1</v>
      </c>
      <c r="S45" s="290">
        <v>2</v>
      </c>
      <c r="T45" s="261">
        <v>10</v>
      </c>
      <c r="U45" s="452">
        <f>4+2</f>
        <v>6</v>
      </c>
      <c r="V45" s="596">
        <v>19</v>
      </c>
      <c r="W45" s="235">
        <f>4+2</f>
        <v>6</v>
      </c>
      <c r="X45" s="86">
        <v>7</v>
      </c>
      <c r="Y45" s="86">
        <v>11</v>
      </c>
      <c r="Z45" s="72">
        <v>9</v>
      </c>
      <c r="AA45" s="72">
        <v>17</v>
      </c>
      <c r="AB45" s="72">
        <v>10</v>
      </c>
      <c r="AC45" s="72">
        <v>16</v>
      </c>
      <c r="AD45" s="72">
        <v>6</v>
      </c>
      <c r="AE45" s="72">
        <v>14</v>
      </c>
      <c r="AF45" s="644">
        <v>15</v>
      </c>
      <c r="AG45" s="669" t="str">
        <f t="shared" si="12"/>
        <v xml:space="preserve"> </v>
      </c>
      <c r="AH45" s="187" t="str">
        <f t="shared" si="13"/>
        <v xml:space="preserve"> </v>
      </c>
      <c r="AI45" s="188" t="str">
        <f t="shared" si="14"/>
        <v xml:space="preserve"> </v>
      </c>
      <c r="AJ45" s="203">
        <f t="shared" si="15"/>
        <v>11.666666666666666</v>
      </c>
    </row>
    <row r="46" spans="1:170" ht="12" x14ac:dyDescent="0.2">
      <c r="A46" s="489" t="s">
        <v>113</v>
      </c>
      <c r="B46" s="62"/>
      <c r="C46" s="62"/>
      <c r="D46" s="62"/>
      <c r="E46" s="62"/>
      <c r="F46" s="62"/>
      <c r="G46" s="62"/>
      <c r="H46" s="5"/>
      <c r="I46" s="5"/>
      <c r="J46" s="62"/>
      <c r="K46" s="62"/>
      <c r="L46" s="62"/>
      <c r="M46" s="62"/>
      <c r="N46" s="5"/>
      <c r="O46" s="220"/>
      <c r="P46" s="220"/>
      <c r="Q46" s="260"/>
      <c r="R46" s="260"/>
      <c r="S46" s="289"/>
      <c r="T46" s="260"/>
      <c r="U46" s="451"/>
      <c r="V46" s="604"/>
      <c r="W46" s="523"/>
      <c r="X46" s="523"/>
      <c r="Y46" s="523"/>
      <c r="Z46" s="523"/>
      <c r="AA46" s="523"/>
      <c r="AB46" s="523"/>
      <c r="AC46" s="523"/>
      <c r="AD46" s="523"/>
      <c r="AE46" s="485"/>
      <c r="AF46" s="68">
        <v>2</v>
      </c>
      <c r="AG46" s="668"/>
      <c r="AH46" s="189"/>
      <c r="AI46" s="190"/>
      <c r="AJ46" s="105" t="str">
        <f t="shared" si="15"/>
        <v xml:space="preserve">  </v>
      </c>
    </row>
    <row r="47" spans="1:170" ht="12" hidden="1" x14ac:dyDescent="0.2">
      <c r="A47" s="320" t="s">
        <v>95</v>
      </c>
      <c r="B47" s="62">
        <v>6</v>
      </c>
      <c r="C47" s="62">
        <v>8</v>
      </c>
      <c r="D47" s="62">
        <v>12</v>
      </c>
      <c r="E47" s="62">
        <v>21</v>
      </c>
      <c r="F47" s="62">
        <v>15</v>
      </c>
      <c r="G47" s="62">
        <v>6</v>
      </c>
      <c r="H47" s="5">
        <v>13</v>
      </c>
      <c r="I47" s="5">
        <v>12</v>
      </c>
      <c r="J47" s="62">
        <v>10</v>
      </c>
      <c r="K47" s="62">
        <v>8</v>
      </c>
      <c r="L47" s="62">
        <v>10</v>
      </c>
      <c r="M47" s="62">
        <v>7</v>
      </c>
      <c r="N47" s="5">
        <v>4</v>
      </c>
      <c r="O47" s="220">
        <v>8</v>
      </c>
      <c r="P47" s="220">
        <v>5</v>
      </c>
      <c r="Q47" s="260">
        <v>2</v>
      </c>
      <c r="R47" s="260">
        <v>2</v>
      </c>
      <c r="S47" s="289">
        <v>0</v>
      </c>
      <c r="T47" s="260">
        <v>1</v>
      </c>
      <c r="U47" s="451">
        <v>0</v>
      </c>
      <c r="V47" s="594">
        <v>0</v>
      </c>
      <c r="W47" s="230">
        <v>1</v>
      </c>
      <c r="X47" s="5">
        <v>0</v>
      </c>
      <c r="Y47" s="5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>
        <v>0</v>
      </c>
      <c r="AF47" s="68"/>
      <c r="AG47" s="668" t="str">
        <f t="shared" si="12"/>
        <v xml:space="preserve"> </v>
      </c>
      <c r="AH47" s="189" t="str">
        <f t="shared" si="13"/>
        <v xml:space="preserve"> </v>
      </c>
      <c r="AI47" s="190" t="str">
        <f t="shared" si="14"/>
        <v xml:space="preserve"> </v>
      </c>
      <c r="AJ47" s="105" t="str">
        <f t="shared" si="15"/>
        <v xml:space="preserve">  </v>
      </c>
    </row>
    <row r="48" spans="1:170" ht="12" x14ac:dyDescent="0.2">
      <c r="A48" s="320" t="s">
        <v>13</v>
      </c>
      <c r="B48" s="62">
        <v>14</v>
      </c>
      <c r="C48" s="62">
        <v>31</v>
      </c>
      <c r="D48" s="62">
        <v>26</v>
      </c>
      <c r="E48" s="62">
        <v>22</v>
      </c>
      <c r="F48" s="62">
        <v>22</v>
      </c>
      <c r="G48" s="62">
        <v>22</v>
      </c>
      <c r="H48" s="5">
        <v>17</v>
      </c>
      <c r="I48" s="5">
        <v>22</v>
      </c>
      <c r="J48" s="62">
        <v>28</v>
      </c>
      <c r="K48" s="62">
        <v>13</v>
      </c>
      <c r="L48" s="62">
        <v>32</v>
      </c>
      <c r="M48" s="62">
        <v>20</v>
      </c>
      <c r="N48" s="5">
        <v>20</v>
      </c>
      <c r="O48" s="220">
        <v>34</v>
      </c>
      <c r="P48" s="220">
        <v>35</v>
      </c>
      <c r="Q48" s="260">
        <v>37</v>
      </c>
      <c r="R48" s="260">
        <f>28+1</f>
        <v>29</v>
      </c>
      <c r="S48" s="289">
        <f>31+1</f>
        <v>32</v>
      </c>
      <c r="T48" s="260">
        <v>30</v>
      </c>
      <c r="U48" s="451">
        <v>28</v>
      </c>
      <c r="V48" s="594">
        <v>38</v>
      </c>
      <c r="W48" s="230">
        <v>23</v>
      </c>
      <c r="X48" s="5">
        <v>35</v>
      </c>
      <c r="Y48" s="5">
        <v>31</v>
      </c>
      <c r="Z48" s="63">
        <v>30</v>
      </c>
      <c r="AA48" s="63">
        <v>25</v>
      </c>
      <c r="AB48" s="63">
        <v>23</v>
      </c>
      <c r="AC48" s="63">
        <v>15</v>
      </c>
      <c r="AD48" s="63">
        <v>15</v>
      </c>
      <c r="AE48" s="63">
        <v>15</v>
      </c>
      <c r="AF48" s="68">
        <f>10+1</f>
        <v>11</v>
      </c>
      <c r="AG48" s="668" t="str">
        <f t="shared" si="12"/>
        <v xml:space="preserve"> </v>
      </c>
      <c r="AH48" s="189" t="str">
        <f t="shared" si="13"/>
        <v xml:space="preserve"> </v>
      </c>
      <c r="AI48" s="190" t="str">
        <f t="shared" si="14"/>
        <v xml:space="preserve"> </v>
      </c>
      <c r="AJ48" s="105">
        <f t="shared" si="15"/>
        <v>13.666666666666666</v>
      </c>
    </row>
    <row r="49" spans="1:170" ht="12" x14ac:dyDescent="0.2">
      <c r="A49" s="321" t="s">
        <v>94</v>
      </c>
      <c r="B49" s="62"/>
      <c r="C49" s="62"/>
      <c r="D49" s="62"/>
      <c r="E49" s="62"/>
      <c r="F49" s="62"/>
      <c r="G49" s="62"/>
      <c r="H49" s="5"/>
      <c r="I49" s="5"/>
      <c r="J49" s="62"/>
      <c r="K49" s="62"/>
      <c r="L49" s="62"/>
      <c r="M49" s="62"/>
      <c r="N49" s="5"/>
      <c r="O49" s="220"/>
      <c r="P49" s="220"/>
      <c r="Q49" s="260"/>
      <c r="R49" s="260">
        <v>0</v>
      </c>
      <c r="S49" s="289"/>
      <c r="T49" s="260">
        <v>0</v>
      </c>
      <c r="U49" s="436"/>
      <c r="V49" s="605"/>
      <c r="W49" s="524"/>
      <c r="X49" s="524"/>
      <c r="Y49" s="524"/>
      <c r="Z49" s="524"/>
      <c r="AA49" s="524"/>
      <c r="AB49" s="66">
        <v>1</v>
      </c>
      <c r="AC49" s="66">
        <v>1</v>
      </c>
      <c r="AD49" s="66">
        <v>8</v>
      </c>
      <c r="AE49" s="66">
        <v>6</v>
      </c>
      <c r="AF49" s="645">
        <v>4</v>
      </c>
      <c r="AG49" s="670" t="str">
        <f t="shared" si="12"/>
        <v xml:space="preserve"> </v>
      </c>
      <c r="AH49" s="191" t="str">
        <f t="shared" si="13"/>
        <v xml:space="preserve"> </v>
      </c>
      <c r="AI49" s="192" t="str">
        <f t="shared" si="14"/>
        <v xml:space="preserve"> </v>
      </c>
      <c r="AJ49" s="204">
        <f t="shared" si="15"/>
        <v>6</v>
      </c>
    </row>
    <row r="50" spans="1:170" ht="12" x14ac:dyDescent="0.2">
      <c r="A50" s="322" t="s">
        <v>18</v>
      </c>
      <c r="B50" s="62">
        <v>21</v>
      </c>
      <c r="C50" s="62">
        <v>21</v>
      </c>
      <c r="D50" s="62">
        <v>24</v>
      </c>
      <c r="E50" s="62">
        <v>22</v>
      </c>
      <c r="F50" s="62">
        <v>21</v>
      </c>
      <c r="G50" s="62">
        <v>16</v>
      </c>
      <c r="H50" s="5">
        <v>27</v>
      </c>
      <c r="I50" s="5">
        <v>12</v>
      </c>
      <c r="J50" s="62">
        <v>22</v>
      </c>
      <c r="K50" s="62">
        <v>24</v>
      </c>
      <c r="L50" s="62">
        <v>22</v>
      </c>
      <c r="M50" s="62">
        <v>22</v>
      </c>
      <c r="N50" s="5">
        <v>24</v>
      </c>
      <c r="O50" s="220">
        <v>28</v>
      </c>
      <c r="P50" s="220">
        <v>14</v>
      </c>
      <c r="Q50" s="260">
        <v>19</v>
      </c>
      <c r="R50" s="260">
        <f>23+4</f>
        <v>27</v>
      </c>
      <c r="S50" s="289">
        <f>24+2</f>
        <v>26</v>
      </c>
      <c r="T50" s="260">
        <v>26</v>
      </c>
      <c r="U50" s="451">
        <f>30+1</f>
        <v>31</v>
      </c>
      <c r="V50" s="594">
        <v>33</v>
      </c>
      <c r="W50" s="230">
        <f>32+1</f>
        <v>33</v>
      </c>
      <c r="X50" s="5">
        <v>31</v>
      </c>
      <c r="Y50" s="5">
        <v>26</v>
      </c>
      <c r="Z50" s="63">
        <v>27</v>
      </c>
      <c r="AA50" s="63">
        <v>21</v>
      </c>
      <c r="AB50" s="63">
        <v>36</v>
      </c>
      <c r="AC50" s="63">
        <v>21</v>
      </c>
      <c r="AD50" s="63">
        <v>21</v>
      </c>
      <c r="AE50" s="63">
        <v>14</v>
      </c>
      <c r="AF50" s="68">
        <v>21</v>
      </c>
      <c r="AG50" s="668" t="str">
        <f t="shared" si="12"/>
        <v xml:space="preserve"> </v>
      </c>
      <c r="AH50" s="189" t="str">
        <f t="shared" si="13"/>
        <v xml:space="preserve"> </v>
      </c>
      <c r="AI50" s="190" t="str">
        <f t="shared" si="14"/>
        <v xml:space="preserve"> </v>
      </c>
      <c r="AJ50" s="105">
        <f t="shared" si="15"/>
        <v>18.666666666666668</v>
      </c>
    </row>
    <row r="51" spans="1:170" ht="12" x14ac:dyDescent="0.2">
      <c r="A51" s="322" t="s">
        <v>22</v>
      </c>
      <c r="B51" s="62">
        <v>1</v>
      </c>
      <c r="C51" s="62">
        <v>5</v>
      </c>
      <c r="D51" s="62">
        <v>8</v>
      </c>
      <c r="E51" s="62">
        <v>5</v>
      </c>
      <c r="F51" s="62">
        <v>4</v>
      </c>
      <c r="G51" s="62">
        <v>9</v>
      </c>
      <c r="H51" s="5">
        <v>5</v>
      </c>
      <c r="I51" s="5">
        <v>8</v>
      </c>
      <c r="J51" s="62">
        <v>13</v>
      </c>
      <c r="K51" s="62">
        <v>8</v>
      </c>
      <c r="L51" s="62">
        <v>4</v>
      </c>
      <c r="M51" s="62">
        <v>12</v>
      </c>
      <c r="N51" s="5">
        <v>8</v>
      </c>
      <c r="O51" s="220">
        <v>13</v>
      </c>
      <c r="P51" s="220">
        <v>6</v>
      </c>
      <c r="Q51" s="260">
        <v>8</v>
      </c>
      <c r="R51" s="260">
        <v>7</v>
      </c>
      <c r="S51" s="289">
        <v>5</v>
      </c>
      <c r="T51" s="260">
        <v>11</v>
      </c>
      <c r="U51" s="451">
        <v>9</v>
      </c>
      <c r="V51" s="594">
        <v>12</v>
      </c>
      <c r="W51" s="230">
        <v>21</v>
      </c>
      <c r="X51" s="5">
        <v>18</v>
      </c>
      <c r="Y51" s="5">
        <v>30</v>
      </c>
      <c r="Z51" s="63">
        <v>12</v>
      </c>
      <c r="AA51" s="63">
        <v>20</v>
      </c>
      <c r="AB51" s="63">
        <v>14</v>
      </c>
      <c r="AC51" s="63">
        <v>9</v>
      </c>
      <c r="AD51" s="63">
        <v>8</v>
      </c>
      <c r="AE51" s="63">
        <v>5</v>
      </c>
      <c r="AF51" s="68">
        <v>7</v>
      </c>
      <c r="AG51" s="668" t="str">
        <f t="shared" si="12"/>
        <v xml:space="preserve"> </v>
      </c>
      <c r="AH51" s="189" t="str">
        <f t="shared" si="13"/>
        <v xml:space="preserve"> </v>
      </c>
      <c r="AI51" s="190" t="str">
        <f t="shared" si="14"/>
        <v xml:space="preserve"> </v>
      </c>
      <c r="AJ51" s="105">
        <f t="shared" si="15"/>
        <v>6.666666666666667</v>
      </c>
    </row>
    <row r="52" spans="1:170" ht="13.5" hidden="1" x14ac:dyDescent="0.2">
      <c r="A52" s="322" t="s">
        <v>82</v>
      </c>
      <c r="B52" s="62">
        <v>8</v>
      </c>
      <c r="C52" s="62">
        <v>2</v>
      </c>
      <c r="D52" s="62"/>
      <c r="E52" s="62">
        <v>2</v>
      </c>
      <c r="F52" s="62">
        <v>0</v>
      </c>
      <c r="G52" s="62">
        <v>0</v>
      </c>
      <c r="H52" s="5">
        <v>0</v>
      </c>
      <c r="I52" s="5">
        <v>0</v>
      </c>
      <c r="J52" s="62">
        <v>0</v>
      </c>
      <c r="K52" s="62">
        <v>0</v>
      </c>
      <c r="L52" s="62">
        <v>0</v>
      </c>
      <c r="M52" s="62">
        <v>0</v>
      </c>
      <c r="N52" s="5">
        <v>0</v>
      </c>
      <c r="O52" s="220"/>
      <c r="P52" s="220"/>
      <c r="Q52" s="260"/>
      <c r="R52" s="260"/>
      <c r="S52" s="289"/>
      <c r="T52" s="260"/>
      <c r="U52" s="451"/>
      <c r="V52" s="594"/>
      <c r="W52" s="230"/>
      <c r="X52" s="5"/>
      <c r="Y52" s="5"/>
      <c r="Z52" s="63"/>
      <c r="AA52" s="63"/>
      <c r="AB52" s="63"/>
      <c r="AC52" s="63"/>
      <c r="AD52" s="63"/>
      <c r="AE52" s="63"/>
      <c r="AF52" s="68"/>
      <c r="AG52" s="668" t="str">
        <f t="shared" si="12"/>
        <v xml:space="preserve"> </v>
      </c>
      <c r="AH52" s="189" t="str">
        <f t="shared" si="13"/>
        <v xml:space="preserve"> </v>
      </c>
      <c r="AI52" s="190" t="str">
        <f t="shared" si="14"/>
        <v xml:space="preserve"> </v>
      </c>
      <c r="AJ52" s="105" t="str">
        <f t="shared" si="15"/>
        <v xml:space="preserve">  </v>
      </c>
    </row>
    <row r="53" spans="1:170" ht="12" x14ac:dyDescent="0.2">
      <c r="A53" s="323" t="s">
        <v>108</v>
      </c>
      <c r="B53" s="91"/>
      <c r="C53" s="91"/>
      <c r="D53" s="91"/>
      <c r="E53" s="91"/>
      <c r="F53" s="91"/>
      <c r="G53" s="91"/>
      <c r="H53" s="78"/>
      <c r="I53" s="78"/>
      <c r="J53" s="91"/>
      <c r="K53" s="91"/>
      <c r="L53" s="91"/>
      <c r="M53" s="91"/>
      <c r="N53" s="78"/>
      <c r="O53" s="228"/>
      <c r="P53" s="228">
        <v>0</v>
      </c>
      <c r="Q53" s="269"/>
      <c r="R53" s="269">
        <v>0</v>
      </c>
      <c r="S53" s="294"/>
      <c r="T53" s="269">
        <v>0</v>
      </c>
      <c r="U53" s="436"/>
      <c r="V53" s="606"/>
      <c r="W53" s="236">
        <v>0</v>
      </c>
      <c r="X53" s="78">
        <v>0</v>
      </c>
      <c r="Y53" s="78">
        <v>0</v>
      </c>
      <c r="Z53" s="67">
        <v>1</v>
      </c>
      <c r="AA53" s="67">
        <v>6</v>
      </c>
      <c r="AB53" s="67">
        <v>1</v>
      </c>
      <c r="AC53" s="67">
        <v>6</v>
      </c>
      <c r="AD53" s="67">
        <v>5</v>
      </c>
      <c r="AE53" s="67">
        <v>2</v>
      </c>
      <c r="AF53" s="648">
        <v>1</v>
      </c>
      <c r="AG53" s="677" t="str">
        <f t="shared" si="12"/>
        <v xml:space="preserve"> </v>
      </c>
      <c r="AH53" s="426" t="str">
        <f t="shared" si="13"/>
        <v xml:space="preserve"> </v>
      </c>
      <c r="AI53" s="427" t="str">
        <f t="shared" si="14"/>
        <v xml:space="preserve"> </v>
      </c>
      <c r="AJ53" s="422">
        <f t="shared" si="15"/>
        <v>2.6666666666666665</v>
      </c>
    </row>
    <row r="54" spans="1:170" s="15" customFormat="1" ht="12.75" thickBot="1" x14ac:dyDescent="0.25">
      <c r="A54" s="324" t="s">
        <v>52</v>
      </c>
      <c r="B54" s="92">
        <f t="shared" ref="B54" si="16">SUM(B40:B52)</f>
        <v>139</v>
      </c>
      <c r="C54" s="92">
        <f t="shared" ref="C54:O54" si="17">SUM(C41:C52)</f>
        <v>153</v>
      </c>
      <c r="D54" s="92">
        <f t="shared" si="17"/>
        <v>183</v>
      </c>
      <c r="E54" s="92">
        <f t="shared" si="17"/>
        <v>214</v>
      </c>
      <c r="F54" s="92">
        <f t="shared" si="17"/>
        <v>179</v>
      </c>
      <c r="G54" s="92">
        <f t="shared" si="17"/>
        <v>151</v>
      </c>
      <c r="H54" s="92">
        <f t="shared" si="17"/>
        <v>168</v>
      </c>
      <c r="I54" s="92">
        <f t="shared" si="17"/>
        <v>167</v>
      </c>
      <c r="J54" s="92">
        <f t="shared" si="17"/>
        <v>193</v>
      </c>
      <c r="K54" s="92">
        <f t="shared" si="17"/>
        <v>146</v>
      </c>
      <c r="L54" s="92">
        <f t="shared" si="17"/>
        <v>177</v>
      </c>
      <c r="M54" s="92">
        <f t="shared" si="17"/>
        <v>169</v>
      </c>
      <c r="N54" s="92">
        <f t="shared" si="17"/>
        <v>166</v>
      </c>
      <c r="O54" s="229">
        <f t="shared" si="17"/>
        <v>192</v>
      </c>
      <c r="P54" s="247">
        <f t="shared" ref="P54" si="18">SUM(P41:P53)</f>
        <v>171</v>
      </c>
      <c r="Q54" s="270">
        <f t="shared" ref="Q54" si="19">SUM(Q41:Q53)</f>
        <v>180</v>
      </c>
      <c r="R54" s="270">
        <f>SUM(R41:R53)</f>
        <v>200</v>
      </c>
      <c r="S54" s="270">
        <f>SUM(S41:S53)</f>
        <v>189</v>
      </c>
      <c r="T54" s="270">
        <f>SUM(T41:T53)</f>
        <v>206</v>
      </c>
      <c r="U54" s="459">
        <f>SUM(U41:U53)</f>
        <v>213</v>
      </c>
      <c r="V54" s="607">
        <f t="shared" ref="V54:X54" si="20">SUM(V41:V53)</f>
        <v>262</v>
      </c>
      <c r="W54" s="149">
        <f>SUM(W41:W53)</f>
        <v>248</v>
      </c>
      <c r="X54" s="92">
        <f t="shared" si="20"/>
        <v>245</v>
      </c>
      <c r="Y54" s="92">
        <f t="shared" ref="Y54:AE54" si="21">SUM(Y41:Y53)</f>
        <v>256</v>
      </c>
      <c r="Z54" s="92">
        <f t="shared" si="21"/>
        <v>239</v>
      </c>
      <c r="AA54" s="92">
        <f t="shared" si="21"/>
        <v>254</v>
      </c>
      <c r="AB54" s="92">
        <f t="shared" si="21"/>
        <v>216</v>
      </c>
      <c r="AC54" s="92">
        <f t="shared" si="21"/>
        <v>202</v>
      </c>
      <c r="AD54" s="92">
        <f t="shared" ref="AD54" si="22">SUM(AD41:AD53)</f>
        <v>175</v>
      </c>
      <c r="AE54" s="92">
        <f t="shared" si="21"/>
        <v>183</v>
      </c>
      <c r="AF54" s="229">
        <f>SUM(AF41:AF53)</f>
        <v>166</v>
      </c>
      <c r="AG54" s="678">
        <f t="shared" si="12"/>
        <v>-9.2896174863387984E-2</v>
      </c>
      <c r="AH54" s="93">
        <f t="shared" si="13"/>
        <v>-0.34645669291338582</v>
      </c>
      <c r="AI54" s="94">
        <f t="shared" si="14"/>
        <v>-0.36641221374045801</v>
      </c>
      <c r="AJ54" s="165">
        <f t="shared" si="15"/>
        <v>174.66666666666666</v>
      </c>
      <c r="AK54" s="73"/>
      <c r="AL54" s="75"/>
      <c r="AM54" s="75"/>
      <c r="AN54" s="75"/>
      <c r="AO54" s="75"/>
      <c r="AP54" s="75"/>
      <c r="AQ54" s="75"/>
      <c r="AR54" s="75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</row>
    <row r="55" spans="1:170" s="15" customFormat="1" ht="12.75" thickTop="1" x14ac:dyDescent="0.2">
      <c r="A55" s="325" t="s">
        <v>53</v>
      </c>
      <c r="B55" s="23"/>
      <c r="C55" s="24"/>
      <c r="D55" s="24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5"/>
      <c r="P55" s="25"/>
      <c r="Q55" s="25"/>
      <c r="R55" s="25"/>
      <c r="S55" s="25"/>
      <c r="T55" s="25"/>
      <c r="U55" s="25"/>
      <c r="V55" s="25"/>
      <c r="W55" s="25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7"/>
      <c r="AI55" s="27"/>
      <c r="AJ55" s="180"/>
      <c r="AK55" s="73"/>
      <c r="AL55" s="75"/>
      <c r="AM55" s="75"/>
      <c r="AN55" s="75"/>
      <c r="AO55" s="75"/>
      <c r="AP55" s="75"/>
      <c r="AQ55" s="75"/>
      <c r="AR55" s="75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</row>
    <row r="56" spans="1:170" ht="12" x14ac:dyDescent="0.2">
      <c r="A56" s="424" t="s">
        <v>0</v>
      </c>
      <c r="B56" s="84">
        <v>62</v>
      </c>
      <c r="C56" s="84">
        <v>49</v>
      </c>
      <c r="D56" s="84">
        <v>55</v>
      </c>
      <c r="E56" s="84">
        <v>60</v>
      </c>
      <c r="F56" s="84">
        <v>42</v>
      </c>
      <c r="G56" s="84">
        <v>26</v>
      </c>
      <c r="H56" s="77">
        <v>46</v>
      </c>
      <c r="I56" s="77">
        <v>30</v>
      </c>
      <c r="J56" s="84">
        <v>25</v>
      </c>
      <c r="K56" s="84">
        <v>32</v>
      </c>
      <c r="L56" s="84">
        <v>34</v>
      </c>
      <c r="M56" s="84">
        <v>40</v>
      </c>
      <c r="N56" s="77">
        <v>38</v>
      </c>
      <c r="O56" s="219">
        <v>30</v>
      </c>
      <c r="P56" s="219">
        <v>61</v>
      </c>
      <c r="Q56" s="266">
        <v>60</v>
      </c>
      <c r="R56" s="266">
        <v>53</v>
      </c>
      <c r="S56" s="288">
        <f>46+1</f>
        <v>47</v>
      </c>
      <c r="T56" s="266">
        <v>44</v>
      </c>
      <c r="U56" s="450">
        <f>56+1</f>
        <v>57</v>
      </c>
      <c r="V56" s="593">
        <v>53</v>
      </c>
      <c r="W56" s="234">
        <f>66+3</f>
        <v>69</v>
      </c>
      <c r="X56" s="77">
        <v>81</v>
      </c>
      <c r="Y56" s="77">
        <v>60</v>
      </c>
      <c r="Z56" s="76">
        <v>40</v>
      </c>
      <c r="AA56" s="76">
        <v>63</v>
      </c>
      <c r="AB56" s="76">
        <v>46</v>
      </c>
      <c r="AC56" s="76">
        <v>37</v>
      </c>
      <c r="AD56" s="76">
        <v>41</v>
      </c>
      <c r="AE56" s="76">
        <v>35</v>
      </c>
      <c r="AF56" s="649">
        <f>35+3</f>
        <v>38</v>
      </c>
      <c r="AG56" s="674">
        <f t="shared" ref="AG56:AG65" si="23">IF(AF56=0," ",IF(AJ56&gt;20,(AF56-AE56)/AE56," "))</f>
        <v>8.5714285714285715E-2</v>
      </c>
      <c r="AH56" s="284">
        <f t="shared" ref="AH56:AH65" si="24">IF(AF56=0," ",IF(AJ56&gt;20,(AF56-AA56)/AA56," "))</f>
        <v>-0.3968253968253968</v>
      </c>
      <c r="AI56" s="285">
        <f t="shared" ref="AI56:AI65" si="25">IF(AF56=0," ",(IF(AJ56&gt;20,(AF56-V56)/V56," ")))</f>
        <v>-0.28301886792452829</v>
      </c>
      <c r="AJ56" s="205">
        <f t="shared" ref="AJ56:AJ65" si="26">IF(AD56&gt;0,AVERAGE(AD56:AF56),"  ")</f>
        <v>38</v>
      </c>
    </row>
    <row r="57" spans="1:170" ht="13.5" x14ac:dyDescent="0.2">
      <c r="A57" s="313" t="s">
        <v>137</v>
      </c>
      <c r="B57" s="62">
        <v>117</v>
      </c>
      <c r="C57" s="62">
        <v>114</v>
      </c>
      <c r="D57" s="62">
        <v>129</v>
      </c>
      <c r="E57" s="62">
        <v>134</v>
      </c>
      <c r="F57" s="62">
        <v>153</v>
      </c>
      <c r="G57" s="62">
        <v>141</v>
      </c>
      <c r="H57" s="5">
        <v>181</v>
      </c>
      <c r="I57" s="5">
        <v>171</v>
      </c>
      <c r="J57" s="62">
        <v>168</v>
      </c>
      <c r="K57" s="62">
        <v>100</v>
      </c>
      <c r="L57" s="62">
        <v>29</v>
      </c>
      <c r="M57" s="62">
        <v>16</v>
      </c>
      <c r="N57" s="5">
        <v>10</v>
      </c>
      <c r="O57" s="220">
        <v>14</v>
      </c>
      <c r="P57" s="220">
        <v>26</v>
      </c>
      <c r="Q57" s="260">
        <v>26</v>
      </c>
      <c r="R57" s="260">
        <v>20</v>
      </c>
      <c r="S57" s="289">
        <f>23+1</f>
        <v>24</v>
      </c>
      <c r="T57" s="260">
        <v>18</v>
      </c>
      <c r="U57" s="451">
        <v>21</v>
      </c>
      <c r="V57" s="594">
        <v>10</v>
      </c>
      <c r="W57" s="230">
        <v>12</v>
      </c>
      <c r="X57" s="5">
        <v>1</v>
      </c>
      <c r="Y57" s="487"/>
      <c r="Z57" s="487"/>
      <c r="AA57" s="487"/>
      <c r="AB57" s="488"/>
      <c r="AC57" s="488"/>
      <c r="AD57" s="488"/>
      <c r="AE57" s="488"/>
      <c r="AF57" s="650"/>
      <c r="AG57" s="668" t="str">
        <f t="shared" si="23"/>
        <v xml:space="preserve"> </v>
      </c>
      <c r="AH57" s="189" t="str">
        <f t="shared" si="24"/>
        <v xml:space="preserve"> </v>
      </c>
      <c r="AI57" s="190" t="str">
        <f t="shared" si="25"/>
        <v xml:space="preserve"> </v>
      </c>
      <c r="AJ57" s="105" t="str">
        <f t="shared" si="26"/>
        <v xml:space="preserve">  </v>
      </c>
    </row>
    <row r="58" spans="1:170" ht="12" x14ac:dyDescent="0.2">
      <c r="A58" s="326" t="s">
        <v>112</v>
      </c>
      <c r="B58" s="62"/>
      <c r="C58" s="62"/>
      <c r="D58" s="62"/>
      <c r="E58" s="62"/>
      <c r="F58" s="62"/>
      <c r="G58" s="62"/>
      <c r="H58" s="5"/>
      <c r="I58" s="5"/>
      <c r="J58" s="62"/>
      <c r="K58" s="62"/>
      <c r="L58" s="62"/>
      <c r="M58" s="62"/>
      <c r="N58" s="5"/>
      <c r="O58" s="220"/>
      <c r="P58" s="220"/>
      <c r="Q58" s="260"/>
      <c r="R58" s="260">
        <v>0</v>
      </c>
      <c r="S58" s="289"/>
      <c r="T58" s="260">
        <v>0</v>
      </c>
      <c r="U58" s="436"/>
      <c r="V58" s="594">
        <v>2</v>
      </c>
      <c r="W58" s="230">
        <v>3</v>
      </c>
      <c r="X58" s="5">
        <v>8</v>
      </c>
      <c r="Y58" s="5">
        <v>10</v>
      </c>
      <c r="Z58" s="63">
        <v>13</v>
      </c>
      <c r="AA58" s="63">
        <v>8</v>
      </c>
      <c r="AB58" s="63">
        <v>5</v>
      </c>
      <c r="AC58" s="63">
        <v>5</v>
      </c>
      <c r="AD58" s="63">
        <v>4</v>
      </c>
      <c r="AE58" s="63">
        <v>7</v>
      </c>
      <c r="AF58" s="68">
        <v>11</v>
      </c>
      <c r="AG58" s="668" t="str">
        <f t="shared" si="23"/>
        <v xml:space="preserve"> </v>
      </c>
      <c r="AH58" s="189" t="str">
        <f t="shared" si="24"/>
        <v xml:space="preserve"> </v>
      </c>
      <c r="AI58" s="190" t="str">
        <f t="shared" si="25"/>
        <v xml:space="preserve"> </v>
      </c>
      <c r="AJ58" s="105">
        <f t="shared" si="26"/>
        <v>7.333333333333333</v>
      </c>
    </row>
    <row r="59" spans="1:170" ht="12" x14ac:dyDescent="0.2">
      <c r="A59" s="314" t="s">
        <v>6</v>
      </c>
      <c r="B59" s="85">
        <v>8</v>
      </c>
      <c r="C59" s="85">
        <v>14</v>
      </c>
      <c r="D59" s="85">
        <v>6</v>
      </c>
      <c r="E59" s="85">
        <v>14</v>
      </c>
      <c r="F59" s="85">
        <v>1</v>
      </c>
      <c r="G59" s="85">
        <v>6</v>
      </c>
      <c r="H59" s="86">
        <v>11</v>
      </c>
      <c r="I59" s="86">
        <v>2</v>
      </c>
      <c r="J59" s="85">
        <v>2</v>
      </c>
      <c r="K59" s="85">
        <v>3</v>
      </c>
      <c r="L59" s="85">
        <v>8</v>
      </c>
      <c r="M59" s="85">
        <v>8</v>
      </c>
      <c r="N59" s="86">
        <v>5</v>
      </c>
      <c r="O59" s="226">
        <v>10</v>
      </c>
      <c r="P59" s="226">
        <v>6</v>
      </c>
      <c r="Q59" s="267">
        <v>16</v>
      </c>
      <c r="R59" s="267">
        <f>10+2</f>
        <v>12</v>
      </c>
      <c r="S59" s="293">
        <v>17</v>
      </c>
      <c r="T59" s="267">
        <v>13</v>
      </c>
      <c r="U59" s="457">
        <v>15</v>
      </c>
      <c r="V59" s="596">
        <v>20</v>
      </c>
      <c r="W59" s="235">
        <f>11+3</f>
        <v>14</v>
      </c>
      <c r="X59" s="86">
        <v>18</v>
      </c>
      <c r="Y59" s="86">
        <v>26</v>
      </c>
      <c r="Z59" s="72">
        <v>10</v>
      </c>
      <c r="AA59" s="72">
        <v>22</v>
      </c>
      <c r="AB59" s="72">
        <v>18</v>
      </c>
      <c r="AC59" s="72">
        <v>8</v>
      </c>
      <c r="AD59" s="72">
        <v>14</v>
      </c>
      <c r="AE59" s="72">
        <v>8</v>
      </c>
      <c r="AF59" s="644">
        <v>7</v>
      </c>
      <c r="AG59" s="669" t="str">
        <f t="shared" si="23"/>
        <v xml:space="preserve"> </v>
      </c>
      <c r="AH59" s="187" t="str">
        <f t="shared" si="24"/>
        <v xml:space="preserve"> </v>
      </c>
      <c r="AI59" s="188" t="str">
        <f t="shared" si="25"/>
        <v xml:space="preserve"> </v>
      </c>
      <c r="AJ59" s="203">
        <f t="shared" si="26"/>
        <v>9.6666666666666661</v>
      </c>
    </row>
    <row r="60" spans="1:170" ht="12" x14ac:dyDescent="0.2">
      <c r="A60" s="313" t="s">
        <v>11</v>
      </c>
      <c r="B60" s="62"/>
      <c r="C60" s="62"/>
      <c r="D60" s="62"/>
      <c r="E60" s="62"/>
      <c r="F60" s="62"/>
      <c r="G60" s="62"/>
      <c r="H60" s="5"/>
      <c r="I60" s="5"/>
      <c r="J60" s="62">
        <v>23</v>
      </c>
      <c r="K60" s="62">
        <v>28</v>
      </c>
      <c r="L60" s="62">
        <v>42</v>
      </c>
      <c r="M60" s="62">
        <v>59</v>
      </c>
      <c r="N60" s="5">
        <v>66</v>
      </c>
      <c r="O60" s="220">
        <v>61</v>
      </c>
      <c r="P60" s="220">
        <v>90</v>
      </c>
      <c r="Q60" s="260">
        <v>90</v>
      </c>
      <c r="R60" s="260">
        <f>48+7</f>
        <v>55</v>
      </c>
      <c r="S60" s="289">
        <f>58+5</f>
        <v>63</v>
      </c>
      <c r="T60" s="260">
        <v>43</v>
      </c>
      <c r="U60" s="451">
        <f>48+6</f>
        <v>54</v>
      </c>
      <c r="V60" s="594">
        <v>46</v>
      </c>
      <c r="W60" s="230">
        <f>49+3</f>
        <v>52</v>
      </c>
      <c r="X60" s="5">
        <v>75</v>
      </c>
      <c r="Y60" s="5">
        <v>56</v>
      </c>
      <c r="Z60" s="63">
        <v>66</v>
      </c>
      <c r="AA60" s="63">
        <v>56</v>
      </c>
      <c r="AB60" s="63">
        <v>64</v>
      </c>
      <c r="AC60" s="63">
        <v>55</v>
      </c>
      <c r="AD60" s="63">
        <v>44</v>
      </c>
      <c r="AE60" s="63">
        <v>48</v>
      </c>
      <c r="AF60" s="68">
        <f>42+2</f>
        <v>44</v>
      </c>
      <c r="AG60" s="668">
        <f t="shared" si="23"/>
        <v>-8.3333333333333329E-2</v>
      </c>
      <c r="AH60" s="189">
        <f t="shared" si="24"/>
        <v>-0.21428571428571427</v>
      </c>
      <c r="AI60" s="190">
        <f t="shared" si="25"/>
        <v>-4.3478260869565216E-2</v>
      </c>
      <c r="AJ60" s="105">
        <f t="shared" si="26"/>
        <v>45.333333333333336</v>
      </c>
    </row>
    <row r="61" spans="1:170" ht="12" x14ac:dyDescent="0.2">
      <c r="A61" s="315" t="s">
        <v>41</v>
      </c>
      <c r="B61" s="65">
        <v>22</v>
      </c>
      <c r="C61" s="65">
        <v>16</v>
      </c>
      <c r="D61" s="65">
        <v>22</v>
      </c>
      <c r="E61" s="65">
        <v>38</v>
      </c>
      <c r="F61" s="65">
        <v>36</v>
      </c>
      <c r="G61" s="65">
        <v>33</v>
      </c>
      <c r="H61" s="6">
        <v>56</v>
      </c>
      <c r="I61" s="6">
        <v>69</v>
      </c>
      <c r="J61" s="65">
        <v>65</v>
      </c>
      <c r="K61" s="65">
        <v>36</v>
      </c>
      <c r="L61" s="65">
        <v>38</v>
      </c>
      <c r="M61" s="65">
        <v>25</v>
      </c>
      <c r="N61" s="6">
        <v>25</v>
      </c>
      <c r="O61" s="221">
        <v>29</v>
      </c>
      <c r="P61" s="221">
        <v>21</v>
      </c>
      <c r="Q61" s="261">
        <v>27</v>
      </c>
      <c r="R61" s="261">
        <f>32+3</f>
        <v>35</v>
      </c>
      <c r="S61" s="290">
        <f>49+5</f>
        <v>54</v>
      </c>
      <c r="T61" s="261">
        <v>64</v>
      </c>
      <c r="U61" s="452">
        <f>56+8</f>
        <v>64</v>
      </c>
      <c r="V61" s="597">
        <v>67</v>
      </c>
      <c r="W61" s="231">
        <f>38+16</f>
        <v>54</v>
      </c>
      <c r="X61" s="6">
        <v>59</v>
      </c>
      <c r="Y61" s="6">
        <v>56</v>
      </c>
      <c r="Z61" s="66">
        <v>68</v>
      </c>
      <c r="AA61" s="66">
        <v>51</v>
      </c>
      <c r="AB61" s="66">
        <v>66</v>
      </c>
      <c r="AC61" s="66">
        <v>48</v>
      </c>
      <c r="AD61" s="66">
        <v>55</v>
      </c>
      <c r="AE61" s="66">
        <v>57</v>
      </c>
      <c r="AF61" s="645">
        <f>36+3</f>
        <v>39</v>
      </c>
      <c r="AG61" s="670">
        <f t="shared" si="23"/>
        <v>-0.31578947368421051</v>
      </c>
      <c r="AH61" s="191">
        <f t="shared" si="24"/>
        <v>-0.23529411764705882</v>
      </c>
      <c r="AI61" s="192">
        <f t="shared" si="25"/>
        <v>-0.41791044776119401</v>
      </c>
      <c r="AJ61" s="204">
        <f t="shared" si="26"/>
        <v>50.333333333333336</v>
      </c>
    </row>
    <row r="62" spans="1:170" ht="12" x14ac:dyDescent="0.2">
      <c r="A62" s="317" t="s">
        <v>96</v>
      </c>
      <c r="B62" s="62"/>
      <c r="C62" s="62"/>
      <c r="D62" s="62"/>
      <c r="E62" s="62"/>
      <c r="F62" s="62"/>
      <c r="G62" s="62"/>
      <c r="H62" s="5"/>
      <c r="I62" s="5"/>
      <c r="J62" s="62"/>
      <c r="K62" s="62"/>
      <c r="L62" s="62"/>
      <c r="M62" s="62"/>
      <c r="N62" s="5"/>
      <c r="O62" s="220"/>
      <c r="P62" s="220"/>
      <c r="Q62" s="260"/>
      <c r="R62" s="260">
        <v>0</v>
      </c>
      <c r="S62" s="289"/>
      <c r="T62" s="260">
        <v>0</v>
      </c>
      <c r="U62" s="436"/>
      <c r="V62" s="608"/>
      <c r="W62" s="230">
        <v>2</v>
      </c>
      <c r="X62" s="5">
        <v>5</v>
      </c>
      <c r="Y62" s="5">
        <v>1</v>
      </c>
      <c r="Z62" s="63">
        <v>3</v>
      </c>
      <c r="AA62" s="63">
        <v>3</v>
      </c>
      <c r="AB62" s="63">
        <v>2</v>
      </c>
      <c r="AC62" s="63">
        <v>2</v>
      </c>
      <c r="AD62" s="63">
        <v>9</v>
      </c>
      <c r="AE62" s="63">
        <v>11</v>
      </c>
      <c r="AF62" s="68">
        <v>11</v>
      </c>
      <c r="AG62" s="668" t="str">
        <f t="shared" si="23"/>
        <v xml:space="preserve"> </v>
      </c>
      <c r="AH62" s="189" t="str">
        <f t="shared" si="24"/>
        <v xml:space="preserve"> </v>
      </c>
      <c r="AI62" s="190" t="str">
        <f t="shared" si="25"/>
        <v xml:space="preserve"> </v>
      </c>
      <c r="AJ62" s="105">
        <f t="shared" si="26"/>
        <v>10.333333333333334</v>
      </c>
    </row>
    <row r="63" spans="1:170" ht="12" x14ac:dyDescent="0.2">
      <c r="A63" s="313" t="s">
        <v>16</v>
      </c>
      <c r="B63" s="62"/>
      <c r="C63" s="62"/>
      <c r="D63" s="62"/>
      <c r="E63" s="62"/>
      <c r="F63" s="62"/>
      <c r="G63" s="62"/>
      <c r="H63" s="5"/>
      <c r="I63" s="5"/>
      <c r="J63" s="62">
        <v>1</v>
      </c>
      <c r="K63" s="62">
        <v>20</v>
      </c>
      <c r="L63" s="62">
        <v>54</v>
      </c>
      <c r="M63" s="62">
        <v>91</v>
      </c>
      <c r="N63" s="5">
        <v>95</v>
      </c>
      <c r="O63" s="220">
        <v>91</v>
      </c>
      <c r="P63" s="220">
        <v>102</v>
      </c>
      <c r="Q63" s="260">
        <v>103</v>
      </c>
      <c r="R63" s="260">
        <f>101+4</f>
        <v>105</v>
      </c>
      <c r="S63" s="289">
        <f>95+3</f>
        <v>98</v>
      </c>
      <c r="T63" s="260">
        <v>89</v>
      </c>
      <c r="U63" s="451">
        <f>95+4</f>
        <v>99</v>
      </c>
      <c r="V63" s="594">
        <v>108</v>
      </c>
      <c r="W63" s="230">
        <v>109</v>
      </c>
      <c r="X63" s="5">
        <v>98</v>
      </c>
      <c r="Y63" s="5">
        <v>94</v>
      </c>
      <c r="Z63" s="63">
        <v>101</v>
      </c>
      <c r="AA63" s="63">
        <v>96</v>
      </c>
      <c r="AB63" s="63">
        <v>94</v>
      </c>
      <c r="AC63" s="63">
        <v>74</v>
      </c>
      <c r="AD63" s="63">
        <v>92</v>
      </c>
      <c r="AE63" s="63">
        <v>97</v>
      </c>
      <c r="AF63" s="68">
        <f>72+1</f>
        <v>73</v>
      </c>
      <c r="AG63" s="668">
        <f t="shared" si="23"/>
        <v>-0.24742268041237114</v>
      </c>
      <c r="AH63" s="189">
        <f t="shared" si="24"/>
        <v>-0.23958333333333334</v>
      </c>
      <c r="AI63" s="190">
        <f t="shared" si="25"/>
        <v>-0.32407407407407407</v>
      </c>
      <c r="AJ63" s="105">
        <f t="shared" si="26"/>
        <v>87.333333333333329</v>
      </c>
    </row>
    <row r="64" spans="1:170" ht="12" x14ac:dyDescent="0.2">
      <c r="A64" s="432" t="s">
        <v>17</v>
      </c>
      <c r="B64" s="91"/>
      <c r="C64" s="91"/>
      <c r="D64" s="91"/>
      <c r="E64" s="91"/>
      <c r="F64" s="91"/>
      <c r="G64" s="91"/>
      <c r="H64" s="78"/>
      <c r="I64" s="78"/>
      <c r="J64" s="91">
        <v>11</v>
      </c>
      <c r="K64" s="91">
        <v>37</v>
      </c>
      <c r="L64" s="91">
        <v>61</v>
      </c>
      <c r="M64" s="91">
        <v>54</v>
      </c>
      <c r="N64" s="78">
        <v>68</v>
      </c>
      <c r="O64" s="228">
        <v>100</v>
      </c>
      <c r="P64" s="228">
        <v>93</v>
      </c>
      <c r="Q64" s="269">
        <v>72</v>
      </c>
      <c r="R64" s="269">
        <f>47+3</f>
        <v>50</v>
      </c>
      <c r="S64" s="294">
        <f>51+2</f>
        <v>53</v>
      </c>
      <c r="T64" s="269">
        <v>57</v>
      </c>
      <c r="U64" s="460">
        <f>45+3</f>
        <v>48</v>
      </c>
      <c r="V64" s="609">
        <v>70</v>
      </c>
      <c r="W64" s="236">
        <v>72</v>
      </c>
      <c r="X64" s="78">
        <v>78</v>
      </c>
      <c r="Y64" s="78">
        <v>81</v>
      </c>
      <c r="Z64" s="67">
        <v>79</v>
      </c>
      <c r="AA64" s="67">
        <v>85</v>
      </c>
      <c r="AB64" s="67">
        <v>107</v>
      </c>
      <c r="AC64" s="67">
        <v>67</v>
      </c>
      <c r="AD64" s="67">
        <v>86</v>
      </c>
      <c r="AE64" s="67">
        <v>60</v>
      </c>
      <c r="AF64" s="648">
        <f>63+1</f>
        <v>64</v>
      </c>
      <c r="AG64" s="677">
        <f t="shared" si="23"/>
        <v>6.6666666666666666E-2</v>
      </c>
      <c r="AH64" s="426">
        <f t="shared" si="24"/>
        <v>-0.24705882352941178</v>
      </c>
      <c r="AI64" s="427">
        <f t="shared" si="25"/>
        <v>-8.5714285714285715E-2</v>
      </c>
      <c r="AJ64" s="422">
        <f t="shared" si="26"/>
        <v>70</v>
      </c>
    </row>
    <row r="65" spans="1:171" s="15" customFormat="1" ht="12.75" thickBot="1" x14ac:dyDescent="0.25">
      <c r="A65" s="327" t="s">
        <v>54</v>
      </c>
      <c r="B65" s="172">
        <f t="shared" ref="B65:X65" si="27">SUM(B56:B64)</f>
        <v>209</v>
      </c>
      <c r="C65" s="172">
        <f t="shared" si="27"/>
        <v>193</v>
      </c>
      <c r="D65" s="172">
        <f t="shared" si="27"/>
        <v>212</v>
      </c>
      <c r="E65" s="172">
        <f t="shared" si="27"/>
        <v>246</v>
      </c>
      <c r="F65" s="172">
        <f t="shared" si="27"/>
        <v>232</v>
      </c>
      <c r="G65" s="172">
        <f t="shared" si="27"/>
        <v>206</v>
      </c>
      <c r="H65" s="172">
        <f t="shared" si="27"/>
        <v>294</v>
      </c>
      <c r="I65" s="172">
        <f t="shared" si="27"/>
        <v>272</v>
      </c>
      <c r="J65" s="172">
        <f t="shared" si="27"/>
        <v>295</v>
      </c>
      <c r="K65" s="172">
        <f t="shared" si="27"/>
        <v>256</v>
      </c>
      <c r="L65" s="172">
        <f t="shared" si="27"/>
        <v>266</v>
      </c>
      <c r="M65" s="172">
        <f t="shared" si="27"/>
        <v>293</v>
      </c>
      <c r="N65" s="172">
        <f t="shared" si="27"/>
        <v>307</v>
      </c>
      <c r="O65" s="237">
        <f t="shared" si="27"/>
        <v>335</v>
      </c>
      <c r="P65" s="237">
        <f t="shared" si="27"/>
        <v>399</v>
      </c>
      <c r="Q65" s="271">
        <f t="shared" si="27"/>
        <v>394</v>
      </c>
      <c r="R65" s="271">
        <f>SUM(R56:R64)</f>
        <v>330</v>
      </c>
      <c r="S65" s="271">
        <f t="shared" si="27"/>
        <v>356</v>
      </c>
      <c r="T65" s="271">
        <f t="shared" si="27"/>
        <v>328</v>
      </c>
      <c r="U65" s="461">
        <f t="shared" si="27"/>
        <v>358</v>
      </c>
      <c r="V65" s="610">
        <f t="shared" si="27"/>
        <v>376</v>
      </c>
      <c r="W65" s="173">
        <f t="shared" si="27"/>
        <v>387</v>
      </c>
      <c r="X65" s="172">
        <f t="shared" si="27"/>
        <v>423</v>
      </c>
      <c r="Y65" s="172">
        <f t="shared" ref="Y65:AE65" si="28">SUM(Y56:Y64)</f>
        <v>384</v>
      </c>
      <c r="Z65" s="172">
        <f t="shared" si="28"/>
        <v>380</v>
      </c>
      <c r="AA65" s="172">
        <f t="shared" si="28"/>
        <v>384</v>
      </c>
      <c r="AB65" s="172">
        <f t="shared" si="28"/>
        <v>402</v>
      </c>
      <c r="AC65" s="172">
        <f t="shared" si="28"/>
        <v>296</v>
      </c>
      <c r="AD65" s="172">
        <f t="shared" ref="AD65" si="29">SUM(AD56:AD64)</f>
        <v>345</v>
      </c>
      <c r="AE65" s="172">
        <f t="shared" si="28"/>
        <v>323</v>
      </c>
      <c r="AF65" s="237">
        <f>SUM(AF56:AF64)</f>
        <v>287</v>
      </c>
      <c r="AG65" s="679">
        <f t="shared" si="23"/>
        <v>-0.11145510835913312</v>
      </c>
      <c r="AH65" s="174">
        <f t="shared" si="24"/>
        <v>-0.25260416666666669</v>
      </c>
      <c r="AI65" s="175">
        <f t="shared" si="25"/>
        <v>-0.23670212765957446</v>
      </c>
      <c r="AJ65" s="176">
        <f t="shared" si="26"/>
        <v>318.33333333333331</v>
      </c>
      <c r="AK65" s="73"/>
      <c r="AL65" s="75"/>
      <c r="AM65" s="75"/>
      <c r="AN65" s="75"/>
      <c r="AO65" s="75"/>
      <c r="AP65" s="75"/>
      <c r="AQ65" s="75"/>
      <c r="AR65" s="75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</row>
    <row r="66" spans="1:171" ht="12.75" thickTop="1" x14ac:dyDescent="0.2">
      <c r="A66" s="328" t="s">
        <v>55</v>
      </c>
      <c r="B66" s="166"/>
      <c r="C66" s="167"/>
      <c r="D66" s="167"/>
      <c r="E66" s="166"/>
      <c r="F66" s="168"/>
      <c r="G66" s="168"/>
      <c r="H66" s="168"/>
      <c r="I66" s="166"/>
      <c r="J66" s="166"/>
      <c r="K66" s="166"/>
      <c r="L66" s="166"/>
      <c r="M66" s="166"/>
      <c r="N66" s="166"/>
      <c r="O66" s="169"/>
      <c r="P66" s="240"/>
      <c r="Q66" s="169"/>
      <c r="R66" s="169"/>
      <c r="S66" s="169"/>
      <c r="T66" s="169"/>
      <c r="U66" s="169"/>
      <c r="V66" s="169"/>
      <c r="W66" s="169"/>
      <c r="X66" s="170"/>
      <c r="Y66" s="170"/>
      <c r="Z66" s="170"/>
      <c r="AA66" s="170"/>
      <c r="AB66" s="170"/>
      <c r="AC66" s="170"/>
      <c r="AD66" s="490"/>
      <c r="AE66" s="170"/>
      <c r="AF66" s="170"/>
      <c r="AG66" s="170"/>
      <c r="AH66" s="171"/>
      <c r="AI66" s="171"/>
      <c r="AJ66" s="181"/>
      <c r="AK66" s="74"/>
      <c r="AL66" s="79"/>
      <c r="AM66" s="79"/>
      <c r="AN66" s="79"/>
      <c r="AO66" s="79"/>
      <c r="AP66" s="79"/>
      <c r="AQ66" s="79"/>
      <c r="AR66" s="79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</row>
    <row r="67" spans="1:171" ht="12" x14ac:dyDescent="0.2">
      <c r="A67" s="424" t="s">
        <v>7</v>
      </c>
      <c r="B67" s="84"/>
      <c r="C67" s="84">
        <v>0</v>
      </c>
      <c r="D67" s="84"/>
      <c r="E67" s="84">
        <v>0</v>
      </c>
      <c r="F67" s="84">
        <v>0</v>
      </c>
      <c r="G67" s="84">
        <v>0</v>
      </c>
      <c r="H67" s="77">
        <v>0</v>
      </c>
      <c r="I67" s="77">
        <v>0</v>
      </c>
      <c r="J67" s="84">
        <v>0</v>
      </c>
      <c r="K67" s="84">
        <v>0</v>
      </c>
      <c r="L67" s="84">
        <v>12</v>
      </c>
      <c r="M67" s="84">
        <v>22</v>
      </c>
      <c r="N67" s="77">
        <v>28</v>
      </c>
      <c r="O67" s="219">
        <v>34</v>
      </c>
      <c r="P67" s="219">
        <v>43</v>
      </c>
      <c r="Q67" s="266">
        <v>36</v>
      </c>
      <c r="R67" s="266">
        <f>43+2</f>
        <v>45</v>
      </c>
      <c r="S67" s="288">
        <v>39</v>
      </c>
      <c r="T67" s="266">
        <v>56</v>
      </c>
      <c r="U67" s="450">
        <f>70+1</f>
        <v>71</v>
      </c>
      <c r="V67" s="593">
        <v>42</v>
      </c>
      <c r="W67" s="234">
        <f>55+2</f>
        <v>57</v>
      </c>
      <c r="X67" s="77">
        <v>59</v>
      </c>
      <c r="Y67" s="77">
        <v>48</v>
      </c>
      <c r="Z67" s="76">
        <v>39</v>
      </c>
      <c r="AA67" s="76">
        <v>48</v>
      </c>
      <c r="AB67" s="76">
        <v>58</v>
      </c>
      <c r="AC67" s="76">
        <v>49</v>
      </c>
      <c r="AD67" s="76">
        <v>56</v>
      </c>
      <c r="AE67" s="76">
        <v>36</v>
      </c>
      <c r="AF67" s="649">
        <v>53</v>
      </c>
      <c r="AG67" s="680">
        <f t="shared" ref="AG67:AG74" si="30">IF(AF67=0," ",IF(AJ67&gt;20,(AF67-AE67)/AE67," "))</f>
        <v>0.47222222222222221</v>
      </c>
      <c r="AH67" s="193">
        <f t="shared" ref="AH67:AH74" si="31">IF(AF67=0," ",IF(AJ67&gt;20,(AF67-AA67)/AA67," "))</f>
        <v>0.10416666666666667</v>
      </c>
      <c r="AI67" s="194">
        <f t="shared" ref="AI67:AI74" si="32">IF(AF67=0," ",(IF(AJ67&gt;20,(AF67-V67)/V67," ")))</f>
        <v>0.26190476190476192</v>
      </c>
      <c r="AJ67" s="205">
        <f t="shared" ref="AJ67:AJ74" si="33">IF(AD67&gt;0,AVERAGE(AD67:AF67),"  ")</f>
        <v>48.333333333333336</v>
      </c>
    </row>
    <row r="68" spans="1:171" ht="12" x14ac:dyDescent="0.2">
      <c r="A68" s="313" t="s">
        <v>8</v>
      </c>
      <c r="B68" s="62">
        <v>163</v>
      </c>
      <c r="C68" s="62">
        <v>161</v>
      </c>
      <c r="D68" s="62">
        <v>185</v>
      </c>
      <c r="E68" s="62">
        <v>160</v>
      </c>
      <c r="F68" s="62">
        <v>167</v>
      </c>
      <c r="G68" s="62">
        <v>137</v>
      </c>
      <c r="H68" s="5">
        <v>168</v>
      </c>
      <c r="I68" s="5">
        <v>169</v>
      </c>
      <c r="J68" s="62">
        <v>194</v>
      </c>
      <c r="K68" s="62">
        <v>145</v>
      </c>
      <c r="L68" s="62">
        <v>108</v>
      </c>
      <c r="M68" s="62">
        <v>129</v>
      </c>
      <c r="N68" s="5">
        <v>113</v>
      </c>
      <c r="O68" s="220">
        <v>98</v>
      </c>
      <c r="P68" s="220">
        <v>97</v>
      </c>
      <c r="Q68" s="260">
        <v>93</v>
      </c>
      <c r="R68" s="260">
        <f>96+4</f>
        <v>100</v>
      </c>
      <c r="S68" s="289">
        <f>113+3</f>
        <v>116</v>
      </c>
      <c r="T68" s="260">
        <v>117</v>
      </c>
      <c r="U68" s="451">
        <f>115+9</f>
        <v>124</v>
      </c>
      <c r="V68" s="594">
        <v>102</v>
      </c>
      <c r="W68" s="230">
        <v>122</v>
      </c>
      <c r="X68" s="5">
        <v>113</v>
      </c>
      <c r="Y68" s="5">
        <v>81</v>
      </c>
      <c r="Z68" s="63">
        <v>90</v>
      </c>
      <c r="AA68" s="63">
        <v>77</v>
      </c>
      <c r="AB68" s="63">
        <v>49</v>
      </c>
      <c r="AC68" s="63">
        <v>76</v>
      </c>
      <c r="AD68" s="63">
        <v>78</v>
      </c>
      <c r="AE68" s="63">
        <v>67</v>
      </c>
      <c r="AF68" s="68">
        <f>65+1</f>
        <v>66</v>
      </c>
      <c r="AG68" s="668">
        <f t="shared" si="30"/>
        <v>-1.4925373134328358E-2</v>
      </c>
      <c r="AH68" s="189">
        <f t="shared" si="31"/>
        <v>-0.14285714285714285</v>
      </c>
      <c r="AI68" s="190">
        <f t="shared" si="32"/>
        <v>-0.35294117647058826</v>
      </c>
      <c r="AJ68" s="105">
        <f t="shared" si="33"/>
        <v>70.333333333333329</v>
      </c>
    </row>
    <row r="69" spans="1:171" ht="12" x14ac:dyDescent="0.2">
      <c r="A69" s="428" t="s">
        <v>107</v>
      </c>
      <c r="B69" s="65"/>
      <c r="C69" s="65"/>
      <c r="D69" s="65"/>
      <c r="E69" s="65"/>
      <c r="F69" s="65"/>
      <c r="G69" s="65"/>
      <c r="H69" s="6"/>
      <c r="I69" s="6"/>
      <c r="J69" s="65"/>
      <c r="K69" s="65"/>
      <c r="L69" s="65"/>
      <c r="M69" s="65"/>
      <c r="N69" s="6"/>
      <c r="O69" s="221"/>
      <c r="P69" s="221"/>
      <c r="Q69" s="261"/>
      <c r="R69" s="261"/>
      <c r="S69" s="290"/>
      <c r="T69" s="261"/>
      <c r="U69" s="452">
        <v>0</v>
      </c>
      <c r="V69" s="611"/>
      <c r="W69" s="514"/>
      <c r="X69" s="514"/>
      <c r="Y69" s="514"/>
      <c r="Z69" s="514"/>
      <c r="AA69" s="514"/>
      <c r="AB69" s="514"/>
      <c r="AC69" s="514"/>
      <c r="AD69" s="514"/>
      <c r="AE69" s="66">
        <v>3</v>
      </c>
      <c r="AF69" s="645">
        <v>11</v>
      </c>
      <c r="AG69" s="670">
        <f t="shared" si="30"/>
        <v>2.6666666666666665</v>
      </c>
      <c r="AH69" s="191"/>
      <c r="AI69" s="192"/>
      <c r="AJ69" s="204" t="str">
        <f t="shared" si="33"/>
        <v xml:space="preserve">  </v>
      </c>
    </row>
    <row r="70" spans="1:171" ht="13.5" x14ac:dyDescent="0.2">
      <c r="A70" s="313" t="s">
        <v>126</v>
      </c>
      <c r="B70" s="62">
        <v>0</v>
      </c>
      <c r="C70" s="62">
        <v>0</v>
      </c>
      <c r="D70" s="62"/>
      <c r="E70" s="62">
        <v>0</v>
      </c>
      <c r="F70" s="62">
        <v>0</v>
      </c>
      <c r="G70" s="62">
        <v>0</v>
      </c>
      <c r="H70" s="5">
        <v>0</v>
      </c>
      <c r="I70" s="5">
        <v>0</v>
      </c>
      <c r="J70" s="62">
        <v>0</v>
      </c>
      <c r="K70" s="62">
        <v>1</v>
      </c>
      <c r="L70" s="62">
        <v>7</v>
      </c>
      <c r="M70" s="62">
        <v>4</v>
      </c>
      <c r="N70" s="5">
        <v>2</v>
      </c>
      <c r="O70" s="220">
        <v>3</v>
      </c>
      <c r="P70" s="220">
        <v>5</v>
      </c>
      <c r="Q70" s="260">
        <v>4</v>
      </c>
      <c r="R70" s="260">
        <f>14+1</f>
        <v>15</v>
      </c>
      <c r="S70" s="289">
        <v>19</v>
      </c>
      <c r="T70" s="260">
        <v>22</v>
      </c>
      <c r="U70" s="451">
        <f>14+1</f>
        <v>15</v>
      </c>
      <c r="V70" s="594">
        <v>26</v>
      </c>
      <c r="W70" s="230">
        <f>26+1</f>
        <v>27</v>
      </c>
      <c r="X70" s="5">
        <v>12</v>
      </c>
      <c r="Y70" s="5">
        <v>1</v>
      </c>
      <c r="Z70" s="515"/>
      <c r="AA70" s="515"/>
      <c r="AB70" s="515"/>
      <c r="AC70" s="515"/>
      <c r="AD70" s="515"/>
      <c r="AE70" s="515"/>
      <c r="AF70" s="522"/>
      <c r="AG70" s="668" t="str">
        <f t="shared" si="30"/>
        <v xml:space="preserve"> </v>
      </c>
      <c r="AH70" s="189" t="str">
        <f t="shared" si="31"/>
        <v xml:space="preserve"> </v>
      </c>
      <c r="AI70" s="190" t="str">
        <f t="shared" si="32"/>
        <v xml:space="preserve"> </v>
      </c>
      <c r="AJ70" s="105" t="str">
        <f t="shared" si="33"/>
        <v xml:space="preserve">  </v>
      </c>
    </row>
    <row r="71" spans="1:171" ht="12" x14ac:dyDescent="0.2">
      <c r="A71" s="313" t="s">
        <v>97</v>
      </c>
      <c r="B71" s="62"/>
      <c r="C71" s="62"/>
      <c r="D71" s="62"/>
      <c r="E71" s="62"/>
      <c r="F71" s="62"/>
      <c r="G71" s="62"/>
      <c r="H71" s="5"/>
      <c r="I71" s="5"/>
      <c r="J71" s="62"/>
      <c r="K71" s="62"/>
      <c r="L71" s="62"/>
      <c r="M71" s="62"/>
      <c r="N71" s="5"/>
      <c r="O71" s="220"/>
      <c r="P71" s="220"/>
      <c r="Q71" s="260"/>
      <c r="R71" s="260">
        <v>0</v>
      </c>
      <c r="S71" s="289"/>
      <c r="T71" s="260">
        <v>0</v>
      </c>
      <c r="U71" s="436"/>
      <c r="V71" s="612"/>
      <c r="W71" s="230">
        <v>0</v>
      </c>
      <c r="X71" s="5">
        <v>0</v>
      </c>
      <c r="Y71" s="5">
        <v>0</v>
      </c>
      <c r="Z71" s="520"/>
      <c r="AA71" s="63">
        <v>1</v>
      </c>
      <c r="AB71" s="63">
        <v>0</v>
      </c>
      <c r="AC71" s="63">
        <v>5</v>
      </c>
      <c r="AD71" s="63">
        <v>7</v>
      </c>
      <c r="AE71" s="63">
        <v>13</v>
      </c>
      <c r="AF71" s="68">
        <v>7</v>
      </c>
      <c r="AG71" s="668" t="str">
        <f t="shared" si="30"/>
        <v xml:space="preserve"> </v>
      </c>
      <c r="AH71" s="189" t="str">
        <f t="shared" si="31"/>
        <v xml:space="preserve"> </v>
      </c>
      <c r="AI71" s="190" t="str">
        <f t="shared" si="32"/>
        <v xml:space="preserve"> </v>
      </c>
      <c r="AJ71" s="105">
        <f t="shared" si="33"/>
        <v>9</v>
      </c>
    </row>
    <row r="72" spans="1:171" ht="12" x14ac:dyDescent="0.2">
      <c r="A72" s="425" t="s">
        <v>21</v>
      </c>
      <c r="B72" s="91">
        <v>38</v>
      </c>
      <c r="C72" s="91">
        <v>48</v>
      </c>
      <c r="D72" s="91">
        <v>68</v>
      </c>
      <c r="E72" s="91">
        <v>56</v>
      </c>
      <c r="F72" s="91">
        <v>52</v>
      </c>
      <c r="G72" s="91">
        <v>63</v>
      </c>
      <c r="H72" s="78">
        <v>62</v>
      </c>
      <c r="I72" s="78">
        <v>63</v>
      </c>
      <c r="J72" s="91">
        <v>37</v>
      </c>
      <c r="K72" s="91">
        <v>38</v>
      </c>
      <c r="L72" s="91">
        <v>34</v>
      </c>
      <c r="M72" s="91">
        <v>41</v>
      </c>
      <c r="N72" s="78">
        <v>43</v>
      </c>
      <c r="O72" s="228">
        <v>30</v>
      </c>
      <c r="P72" s="228">
        <v>28</v>
      </c>
      <c r="Q72" s="269">
        <v>37</v>
      </c>
      <c r="R72" s="269">
        <v>38</v>
      </c>
      <c r="S72" s="294">
        <v>29</v>
      </c>
      <c r="T72" s="269">
        <v>44</v>
      </c>
      <c r="U72" s="460">
        <v>40</v>
      </c>
      <c r="V72" s="609">
        <v>22</v>
      </c>
      <c r="W72" s="236">
        <v>21</v>
      </c>
      <c r="X72" s="78">
        <v>31</v>
      </c>
      <c r="Y72" s="78">
        <v>22</v>
      </c>
      <c r="Z72" s="67">
        <v>18</v>
      </c>
      <c r="AA72" s="67">
        <v>25</v>
      </c>
      <c r="AB72" s="67">
        <v>25</v>
      </c>
      <c r="AC72" s="67">
        <v>35</v>
      </c>
      <c r="AD72" s="67">
        <v>18</v>
      </c>
      <c r="AE72" s="67">
        <v>30</v>
      </c>
      <c r="AF72" s="648">
        <v>29</v>
      </c>
      <c r="AG72" s="677">
        <f t="shared" si="30"/>
        <v>-3.3333333333333333E-2</v>
      </c>
      <c r="AH72" s="426">
        <f t="shared" si="31"/>
        <v>0.16</v>
      </c>
      <c r="AI72" s="427">
        <f t="shared" si="32"/>
        <v>0.31818181818181818</v>
      </c>
      <c r="AJ72" s="422">
        <f t="shared" si="33"/>
        <v>25.666666666666668</v>
      </c>
    </row>
    <row r="73" spans="1:171" s="15" customFormat="1" ht="12.75" thickBot="1" x14ac:dyDescent="0.25">
      <c r="A73" s="329" t="s">
        <v>56</v>
      </c>
      <c r="B73" s="95">
        <f t="shared" ref="B73:AE73" si="34">SUM(B67:B72)</f>
        <v>201</v>
      </c>
      <c r="C73" s="95">
        <f t="shared" si="34"/>
        <v>209</v>
      </c>
      <c r="D73" s="95">
        <f t="shared" si="34"/>
        <v>253</v>
      </c>
      <c r="E73" s="95">
        <f t="shared" si="34"/>
        <v>216</v>
      </c>
      <c r="F73" s="95">
        <f t="shared" si="34"/>
        <v>219</v>
      </c>
      <c r="G73" s="95">
        <f t="shared" si="34"/>
        <v>200</v>
      </c>
      <c r="H73" s="95">
        <f t="shared" si="34"/>
        <v>230</v>
      </c>
      <c r="I73" s="95">
        <f t="shared" si="34"/>
        <v>232</v>
      </c>
      <c r="J73" s="95">
        <f t="shared" si="34"/>
        <v>231</v>
      </c>
      <c r="K73" s="95">
        <f t="shared" si="34"/>
        <v>184</v>
      </c>
      <c r="L73" s="95">
        <f t="shared" si="34"/>
        <v>161</v>
      </c>
      <c r="M73" s="95">
        <f t="shared" si="34"/>
        <v>196</v>
      </c>
      <c r="N73" s="95">
        <f t="shared" si="34"/>
        <v>186</v>
      </c>
      <c r="O73" s="238">
        <f t="shared" si="34"/>
        <v>165</v>
      </c>
      <c r="P73" s="238">
        <f t="shared" si="34"/>
        <v>173</v>
      </c>
      <c r="Q73" s="272">
        <f t="shared" si="34"/>
        <v>170</v>
      </c>
      <c r="R73" s="272">
        <f t="shared" si="34"/>
        <v>198</v>
      </c>
      <c r="S73" s="272">
        <f t="shared" si="34"/>
        <v>203</v>
      </c>
      <c r="T73" s="272">
        <f t="shared" si="34"/>
        <v>239</v>
      </c>
      <c r="U73" s="462">
        <f t="shared" si="34"/>
        <v>250</v>
      </c>
      <c r="V73" s="613">
        <f t="shared" si="34"/>
        <v>192</v>
      </c>
      <c r="W73" s="150">
        <f t="shared" si="34"/>
        <v>227</v>
      </c>
      <c r="X73" s="95">
        <f t="shared" si="34"/>
        <v>215</v>
      </c>
      <c r="Y73" s="95">
        <f t="shared" si="34"/>
        <v>152</v>
      </c>
      <c r="Z73" s="95">
        <f t="shared" si="34"/>
        <v>147</v>
      </c>
      <c r="AA73" s="95">
        <f t="shared" si="34"/>
        <v>151</v>
      </c>
      <c r="AB73" s="95">
        <f t="shared" si="34"/>
        <v>132</v>
      </c>
      <c r="AC73" s="95">
        <f t="shared" si="34"/>
        <v>165</v>
      </c>
      <c r="AD73" s="95">
        <f t="shared" si="34"/>
        <v>159</v>
      </c>
      <c r="AE73" s="95">
        <f t="shared" si="34"/>
        <v>149</v>
      </c>
      <c r="AF73" s="238">
        <f>SUM(AF67:AF72)</f>
        <v>166</v>
      </c>
      <c r="AG73" s="681">
        <f t="shared" si="30"/>
        <v>0.11409395973154363</v>
      </c>
      <c r="AH73" s="177">
        <f t="shared" si="31"/>
        <v>9.9337748344370855E-2</v>
      </c>
      <c r="AI73" s="177">
        <f t="shared" si="32"/>
        <v>-0.13541666666666666</v>
      </c>
      <c r="AJ73" s="95">
        <f t="shared" si="33"/>
        <v>158</v>
      </c>
      <c r="AK73" s="73"/>
      <c r="AL73" s="75"/>
      <c r="AM73" s="75"/>
      <c r="AN73" s="75"/>
      <c r="AO73" s="75"/>
      <c r="AP73" s="75"/>
      <c r="AQ73" s="75"/>
      <c r="AR73" s="75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</row>
    <row r="74" spans="1:171" ht="13.5" thickTop="1" thickBot="1" x14ac:dyDescent="0.25">
      <c r="A74" s="330" t="s">
        <v>57</v>
      </c>
      <c r="B74" s="29">
        <f t="shared" ref="B74:AD74" si="35">+B73+B65+B54+B39+B17</f>
        <v>1006</v>
      </c>
      <c r="C74" s="29">
        <f t="shared" si="35"/>
        <v>1073</v>
      </c>
      <c r="D74" s="29">
        <f t="shared" si="35"/>
        <v>1135</v>
      </c>
      <c r="E74" s="29">
        <f t="shared" si="35"/>
        <v>1185</v>
      </c>
      <c r="F74" s="29">
        <f t="shared" si="35"/>
        <v>1107</v>
      </c>
      <c r="G74" s="29">
        <f t="shared" si="35"/>
        <v>991</v>
      </c>
      <c r="H74" s="29">
        <f t="shared" si="35"/>
        <v>1216</v>
      </c>
      <c r="I74" s="29">
        <f t="shared" si="35"/>
        <v>1231</v>
      </c>
      <c r="J74" s="29">
        <f t="shared" si="35"/>
        <v>1352</v>
      </c>
      <c r="K74" s="29">
        <f t="shared" si="35"/>
        <v>1299</v>
      </c>
      <c r="L74" s="29">
        <f t="shared" si="35"/>
        <v>1313</v>
      </c>
      <c r="M74" s="29">
        <f t="shared" si="35"/>
        <v>1400</v>
      </c>
      <c r="N74" s="29">
        <f t="shared" si="35"/>
        <v>1439</v>
      </c>
      <c r="O74" s="239">
        <f t="shared" si="35"/>
        <v>1553</v>
      </c>
      <c r="P74" s="239">
        <f t="shared" si="35"/>
        <v>1608</v>
      </c>
      <c r="Q74" s="273">
        <f t="shared" si="35"/>
        <v>1661</v>
      </c>
      <c r="R74" s="273">
        <f t="shared" si="35"/>
        <v>1709</v>
      </c>
      <c r="S74" s="273">
        <f t="shared" si="35"/>
        <v>1787</v>
      </c>
      <c r="T74" s="273">
        <f t="shared" si="35"/>
        <v>1872</v>
      </c>
      <c r="U74" s="463">
        <f t="shared" si="35"/>
        <v>1899</v>
      </c>
      <c r="V74" s="614">
        <f t="shared" si="35"/>
        <v>1935</v>
      </c>
      <c r="W74" s="151">
        <f t="shared" si="35"/>
        <v>1967</v>
      </c>
      <c r="X74" s="29">
        <f t="shared" si="35"/>
        <v>2026</v>
      </c>
      <c r="Y74" s="29">
        <f t="shared" si="35"/>
        <v>1872</v>
      </c>
      <c r="Z74" s="29">
        <f t="shared" si="35"/>
        <v>1805</v>
      </c>
      <c r="AA74" s="29">
        <f t="shared" si="35"/>
        <v>1907</v>
      </c>
      <c r="AB74" s="29">
        <f t="shared" si="35"/>
        <v>1842</v>
      </c>
      <c r="AC74" s="29">
        <f t="shared" si="35"/>
        <v>1664</v>
      </c>
      <c r="AD74" s="29">
        <f t="shared" si="35"/>
        <v>1605</v>
      </c>
      <c r="AE74" s="29">
        <f>+AE73+AE65+AE54+AE39+AE17</f>
        <v>1468</v>
      </c>
      <c r="AF74" s="239">
        <f>+AF73+AF65+AF54+AF39+AF17</f>
        <v>1376</v>
      </c>
      <c r="AG74" s="682">
        <f t="shared" si="30"/>
        <v>-6.2670299727520432E-2</v>
      </c>
      <c r="AH74" s="96">
        <f t="shared" si="31"/>
        <v>-0.27844782380702676</v>
      </c>
      <c r="AI74" s="97">
        <f t="shared" si="32"/>
        <v>-0.28888888888888886</v>
      </c>
      <c r="AJ74" s="178">
        <f t="shared" si="33"/>
        <v>1483</v>
      </c>
      <c r="AK74" s="74"/>
      <c r="AL74" s="79"/>
      <c r="AM74" s="79"/>
      <c r="AN74" s="79"/>
      <c r="AO74" s="79"/>
      <c r="AP74" s="79"/>
      <c r="AQ74" s="79"/>
      <c r="AR74" s="79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</row>
    <row r="75" spans="1:171" ht="9.6" customHeight="1" thickTop="1" x14ac:dyDescent="0.2">
      <c r="A75" s="331"/>
      <c r="B75" s="30"/>
      <c r="C75" s="30"/>
      <c r="D75" s="31"/>
      <c r="E75" s="31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146"/>
      <c r="Z75" s="146"/>
      <c r="AA75" s="146"/>
      <c r="AB75" s="146"/>
      <c r="AC75" s="146"/>
      <c r="AD75" s="146"/>
      <c r="AE75" s="146"/>
      <c r="AF75" s="146"/>
      <c r="AG75" s="146"/>
      <c r="AH75" s="32"/>
      <c r="AI75" s="30"/>
      <c r="AJ75" s="33"/>
      <c r="AK75" s="74"/>
      <c r="AL75" s="74"/>
      <c r="AM75" s="79"/>
      <c r="AN75" s="79"/>
      <c r="AO75" s="79"/>
      <c r="AP75" s="79"/>
      <c r="AQ75" s="79"/>
      <c r="AR75" s="79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</row>
    <row r="76" spans="1:171" ht="15" x14ac:dyDescent="0.25">
      <c r="A76" s="720" t="s">
        <v>116</v>
      </c>
      <c r="B76" s="720"/>
      <c r="C76" s="720"/>
      <c r="D76" s="720"/>
      <c r="E76" s="720"/>
      <c r="F76" s="720"/>
      <c r="G76" s="720"/>
      <c r="H76" s="720"/>
      <c r="I76" s="720"/>
      <c r="J76" s="720"/>
      <c r="K76" s="720"/>
      <c r="L76" s="720"/>
      <c r="M76" s="720"/>
      <c r="N76" s="720"/>
      <c r="O76" s="720"/>
      <c r="P76" s="720"/>
      <c r="Q76" s="720"/>
      <c r="R76" s="720"/>
      <c r="S76" s="720"/>
      <c r="T76" s="720"/>
      <c r="U76" s="720"/>
      <c r="V76" s="720"/>
      <c r="W76" s="720"/>
      <c r="X76" s="720"/>
      <c r="Y76" s="720"/>
      <c r="Z76" s="720"/>
      <c r="AA76" s="720"/>
      <c r="AB76" s="720"/>
      <c r="AC76" s="720"/>
      <c r="AD76" s="720"/>
      <c r="AE76" s="720"/>
      <c r="AF76" s="720"/>
      <c r="AG76" s="720"/>
      <c r="AH76" s="720"/>
      <c r="AI76" s="720"/>
      <c r="AJ76" s="720"/>
    </row>
    <row r="77" spans="1:171" ht="15" x14ac:dyDescent="0.25">
      <c r="A77" s="720"/>
      <c r="B77" s="720"/>
      <c r="C77" s="720"/>
      <c r="D77" s="720"/>
      <c r="E77" s="720"/>
      <c r="F77" s="720"/>
      <c r="G77" s="720"/>
      <c r="H77" s="720"/>
      <c r="I77" s="720"/>
      <c r="J77" s="720"/>
      <c r="K77" s="720"/>
      <c r="L77" s="720"/>
      <c r="M77" s="720"/>
      <c r="N77" s="720"/>
      <c r="O77" s="720"/>
      <c r="P77" s="720"/>
      <c r="Q77" s="720"/>
      <c r="R77" s="720"/>
      <c r="S77" s="720"/>
      <c r="T77" s="720"/>
      <c r="U77" s="720"/>
      <c r="V77" s="720"/>
      <c r="W77" s="720"/>
      <c r="X77" s="720"/>
      <c r="Y77" s="720"/>
      <c r="Z77" s="720"/>
      <c r="AA77" s="720"/>
      <c r="AB77" s="720"/>
      <c r="AC77" s="720"/>
      <c r="AD77" s="720"/>
      <c r="AE77" s="720"/>
      <c r="AF77" s="720"/>
      <c r="AG77" s="720"/>
      <c r="AH77" s="720"/>
      <c r="AI77" s="720"/>
      <c r="AJ77" s="720"/>
    </row>
    <row r="78" spans="1:171" ht="15" x14ac:dyDescent="0.25">
      <c r="A78" s="714" t="s">
        <v>146</v>
      </c>
      <c r="B78" s="702"/>
      <c r="C78" s="702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615" t="s">
        <v>84</v>
      </c>
      <c r="W78" s="702"/>
      <c r="X78" s="702"/>
      <c r="Y78" s="702"/>
      <c r="Z78" s="702"/>
      <c r="AA78" s="709" t="s">
        <v>84</v>
      </c>
      <c r="AB78" s="709" t="s">
        <v>84</v>
      </c>
      <c r="AC78" s="709" t="s">
        <v>84</v>
      </c>
      <c r="AD78" s="710" t="s">
        <v>84</v>
      </c>
      <c r="AE78" s="709" t="s">
        <v>84</v>
      </c>
      <c r="AF78" s="715" t="s">
        <v>84</v>
      </c>
      <c r="AG78" s="712" t="s">
        <v>141</v>
      </c>
      <c r="AH78" s="717" t="s">
        <v>142</v>
      </c>
      <c r="AI78" s="713" t="s">
        <v>143</v>
      </c>
      <c r="AJ78" s="719" t="s">
        <v>144</v>
      </c>
    </row>
    <row r="79" spans="1:171" ht="15" x14ac:dyDescent="0.25">
      <c r="A79" s="704"/>
      <c r="B79" s="703"/>
      <c r="C79" s="703"/>
      <c r="D79" s="703"/>
      <c r="E79" s="703"/>
      <c r="F79" s="703"/>
      <c r="G79" s="703"/>
      <c r="H79" s="703"/>
      <c r="I79" s="703"/>
      <c r="J79" s="703"/>
      <c r="K79" s="703"/>
      <c r="L79" s="703"/>
      <c r="M79" s="703"/>
      <c r="N79" s="703"/>
      <c r="O79" s="703"/>
      <c r="P79" s="703"/>
      <c r="Q79" s="703"/>
      <c r="R79" s="703"/>
      <c r="S79" s="703"/>
      <c r="T79" s="703"/>
      <c r="U79" s="703"/>
      <c r="V79" s="616" t="s">
        <v>40</v>
      </c>
      <c r="W79" s="703"/>
      <c r="X79" s="703"/>
      <c r="Y79" s="703"/>
      <c r="Z79" s="703"/>
      <c r="AA79" s="711" t="s">
        <v>73</v>
      </c>
      <c r="AB79" s="706" t="s">
        <v>74</v>
      </c>
      <c r="AC79" s="706" t="s">
        <v>77</v>
      </c>
      <c r="AD79" s="707" t="s">
        <v>79</v>
      </c>
      <c r="AE79" s="706" t="s">
        <v>80</v>
      </c>
      <c r="AF79" s="716" t="s">
        <v>111</v>
      </c>
      <c r="AG79" s="708" t="s">
        <v>140</v>
      </c>
      <c r="AH79" s="718" t="s">
        <v>140</v>
      </c>
      <c r="AI79" s="706" t="s">
        <v>140</v>
      </c>
      <c r="AJ79" s="718" t="s">
        <v>145</v>
      </c>
      <c r="AK79" s="705"/>
    </row>
    <row r="80" spans="1:171" ht="2.25" customHeight="1" thickBot="1" x14ac:dyDescent="0.3">
      <c r="A80" s="332"/>
      <c r="B80" s="332"/>
      <c r="C80" s="332"/>
      <c r="D80" s="333"/>
      <c r="E80" s="333"/>
      <c r="F80" s="334"/>
      <c r="G80" s="333"/>
      <c r="H80" s="335"/>
      <c r="I80" s="335"/>
      <c r="J80" s="335"/>
      <c r="K80" s="335"/>
      <c r="L80" s="336"/>
      <c r="M80" s="335"/>
      <c r="N80" s="335"/>
      <c r="O80" s="335"/>
      <c r="P80" s="335"/>
      <c r="Q80" s="335"/>
      <c r="R80" s="335"/>
      <c r="S80" s="335"/>
      <c r="T80" s="335"/>
      <c r="U80" s="335"/>
      <c r="V80" s="335"/>
      <c r="W80" s="335"/>
      <c r="X80" s="335"/>
      <c r="Y80" s="333"/>
      <c r="Z80" s="333"/>
      <c r="AA80" s="333"/>
      <c r="AB80" s="333"/>
      <c r="AC80" s="333"/>
      <c r="AD80" s="333"/>
      <c r="AE80" s="333"/>
      <c r="AF80" s="333"/>
      <c r="AG80" s="333"/>
      <c r="AH80" s="337"/>
      <c r="AI80" s="34"/>
      <c r="AJ80" s="721"/>
      <c r="AK80" s="74"/>
      <c r="AL80" s="74"/>
      <c r="AM80" s="79"/>
      <c r="AN80" s="79"/>
      <c r="AO80" s="79"/>
      <c r="AP80" s="79"/>
      <c r="AQ80" s="79"/>
      <c r="AR80" s="79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</row>
    <row r="81" spans="1:179" ht="12.75" thickTop="1" x14ac:dyDescent="0.2">
      <c r="A81" s="338" t="s">
        <v>58</v>
      </c>
      <c r="B81" s="35"/>
      <c r="C81" s="35"/>
      <c r="D81" s="36"/>
      <c r="E81" s="36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8"/>
      <c r="AA81" s="38"/>
      <c r="AB81" s="38"/>
      <c r="AC81" s="38"/>
      <c r="AD81" s="38"/>
      <c r="AE81" s="38"/>
      <c r="AF81" s="38"/>
      <c r="AG81" s="38"/>
      <c r="AH81" s="38"/>
      <c r="AI81" s="37"/>
      <c r="AJ81" s="39"/>
      <c r="AK81" s="74"/>
      <c r="AL81" s="74"/>
      <c r="AM81" s="79"/>
      <c r="AN81" s="79"/>
      <c r="AO81" s="79"/>
      <c r="AP81" s="79"/>
      <c r="AQ81" s="79"/>
      <c r="AR81" s="79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</row>
    <row r="82" spans="1:179" ht="12" x14ac:dyDescent="0.2">
      <c r="A82" s="339" t="s">
        <v>44</v>
      </c>
      <c r="B82" s="40"/>
      <c r="C82" s="40"/>
      <c r="D82" s="41"/>
      <c r="E82" s="41"/>
      <c r="F82" s="40"/>
      <c r="G82" s="42"/>
      <c r="H82" s="42"/>
      <c r="I82" s="42"/>
      <c r="J82" s="40"/>
      <c r="K82" s="40"/>
      <c r="L82" s="40"/>
      <c r="M82" s="40"/>
      <c r="N82" s="40"/>
      <c r="O82" s="40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4"/>
      <c r="AA82" s="44"/>
      <c r="AB82" s="44"/>
      <c r="AC82" s="44"/>
      <c r="AD82" s="44"/>
      <c r="AE82" s="44"/>
      <c r="AF82" s="44"/>
      <c r="AG82" s="44"/>
      <c r="AH82" s="44"/>
      <c r="AI82" s="45"/>
      <c r="AJ82" s="46"/>
      <c r="AK82" s="74"/>
      <c r="AL82" s="74"/>
      <c r="AM82" s="79"/>
      <c r="AN82" s="79"/>
      <c r="AO82" s="79"/>
      <c r="AP82" s="79"/>
      <c r="AQ82" s="79"/>
      <c r="AR82" s="79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</row>
    <row r="83" spans="1:179" ht="12" x14ac:dyDescent="0.2">
      <c r="A83" s="340" t="s">
        <v>45</v>
      </c>
      <c r="B83" s="47"/>
      <c r="C83" s="47"/>
      <c r="D83" s="48"/>
      <c r="E83" s="48"/>
      <c r="F83" s="47"/>
      <c r="G83" s="49"/>
      <c r="H83" s="49"/>
      <c r="I83" s="49"/>
      <c r="J83" s="47"/>
      <c r="K83" s="47"/>
      <c r="L83" s="47"/>
      <c r="M83" s="47"/>
      <c r="N83" s="47"/>
      <c r="O83" s="47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1"/>
      <c r="AA83" s="51"/>
      <c r="AB83" s="51"/>
      <c r="AC83" s="51"/>
      <c r="AD83" s="51"/>
      <c r="AE83" s="51"/>
      <c r="AF83" s="51"/>
      <c r="AG83" s="51"/>
      <c r="AH83" s="51"/>
      <c r="AI83" s="52"/>
      <c r="AJ83" s="53"/>
      <c r="AK83" s="74"/>
      <c r="AL83" s="74"/>
      <c r="AM83" s="79"/>
      <c r="AN83" s="79"/>
      <c r="AO83" s="79"/>
      <c r="AP83" s="79"/>
      <c r="AQ83" s="79"/>
      <c r="AR83" s="79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</row>
    <row r="84" spans="1:179" ht="13.5" x14ac:dyDescent="0.2">
      <c r="A84" s="305" t="s">
        <v>129</v>
      </c>
      <c r="B84" s="84"/>
      <c r="C84" s="84"/>
      <c r="D84" s="84"/>
      <c r="E84" s="84"/>
      <c r="F84" s="84"/>
      <c r="G84" s="112"/>
      <c r="H84" s="77"/>
      <c r="I84" s="77"/>
      <c r="J84" s="113"/>
      <c r="K84" s="113"/>
      <c r="L84" s="113"/>
      <c r="M84" s="113"/>
      <c r="N84" s="77"/>
      <c r="O84" s="219"/>
      <c r="P84" s="219"/>
      <c r="Q84" s="278"/>
      <c r="R84" s="278">
        <v>0</v>
      </c>
      <c r="S84" s="288"/>
      <c r="T84" s="278">
        <v>0</v>
      </c>
      <c r="U84" s="464"/>
      <c r="V84" s="617"/>
      <c r="W84" s="481"/>
      <c r="X84" s="521"/>
      <c r="Y84" s="77">
        <v>3</v>
      </c>
      <c r="Z84" s="114">
        <v>3</v>
      </c>
      <c r="AA84" s="114">
        <v>9</v>
      </c>
      <c r="AB84" s="114">
        <v>2</v>
      </c>
      <c r="AC84" s="114">
        <v>6</v>
      </c>
      <c r="AD84" s="480"/>
      <c r="AE84" s="481"/>
      <c r="AF84" s="643"/>
      <c r="AG84" s="680" t="str">
        <f t="shared" ref="AG84:AG86" si="36">IF(AF84=0," ",IF(AJ84&gt;20,(AF84-AE84)/AE84," "))</f>
        <v xml:space="preserve"> </v>
      </c>
      <c r="AH84" s="193" t="str">
        <f t="shared" ref="AH84:AH86" si="37">IF(AF84=0," ",IF(AJ84&gt;20,(AF84-AA84)/AA84," "))</f>
        <v xml:space="preserve"> </v>
      </c>
      <c r="AI84" s="194" t="str">
        <f t="shared" ref="AI84:AI86" si="38">IF(AF84=0," ",(IF(AJ84&gt;20,(AF84-V84)/V84," ")))</f>
        <v xml:space="preserve"> </v>
      </c>
      <c r="AJ84" s="205" t="str">
        <f t="shared" ref="AJ84:AJ86" si="39">IF(AD84&gt;0,AVERAGE(AD84:AF84),"  ")</f>
        <v xml:space="preserve">  </v>
      </c>
      <c r="AK84" s="74"/>
      <c r="AL84" s="74"/>
      <c r="AM84" s="79"/>
      <c r="AN84" s="79"/>
      <c r="AO84" s="79"/>
      <c r="AP84" s="79"/>
      <c r="AQ84" s="79"/>
      <c r="AR84" s="79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</row>
    <row r="85" spans="1:179" ht="12" x14ac:dyDescent="0.2">
      <c r="A85" s="400" t="s">
        <v>123</v>
      </c>
      <c r="B85" s="65"/>
      <c r="C85" s="65"/>
      <c r="D85" s="65"/>
      <c r="E85" s="65"/>
      <c r="F85" s="65"/>
      <c r="G85" s="401"/>
      <c r="H85" s="6"/>
      <c r="I85" s="6">
        <v>7</v>
      </c>
      <c r="J85" s="402">
        <v>5</v>
      </c>
      <c r="K85" s="402">
        <v>9</v>
      </c>
      <c r="L85" s="403">
        <v>4</v>
      </c>
      <c r="M85" s="402">
        <v>12</v>
      </c>
      <c r="N85" s="6">
        <v>8</v>
      </c>
      <c r="O85" s="221">
        <v>11</v>
      </c>
      <c r="P85" s="221">
        <v>7</v>
      </c>
      <c r="Q85" s="404">
        <v>20</v>
      </c>
      <c r="R85" s="404">
        <v>22</v>
      </c>
      <c r="S85" s="290">
        <v>14</v>
      </c>
      <c r="T85" s="404">
        <v>25</v>
      </c>
      <c r="U85" s="465">
        <v>24</v>
      </c>
      <c r="V85" s="618">
        <v>18</v>
      </c>
      <c r="W85" s="405">
        <v>27</v>
      </c>
      <c r="X85" s="6">
        <v>20</v>
      </c>
      <c r="Y85" s="6">
        <v>4</v>
      </c>
      <c r="Z85" s="403">
        <v>16</v>
      </c>
      <c r="AA85" s="403">
        <v>12</v>
      </c>
      <c r="AB85" s="403">
        <v>13</v>
      </c>
      <c r="AC85" s="403">
        <v>13</v>
      </c>
      <c r="AD85" s="403">
        <v>11</v>
      </c>
      <c r="AE85" s="403">
        <v>12</v>
      </c>
      <c r="AF85" s="651">
        <v>8</v>
      </c>
      <c r="AG85" s="683" t="str">
        <f t="shared" si="36"/>
        <v xml:space="preserve"> </v>
      </c>
      <c r="AH85" s="162" t="str">
        <f t="shared" si="37"/>
        <v xml:space="preserve"> </v>
      </c>
      <c r="AI85" s="163" t="str">
        <f t="shared" si="38"/>
        <v xml:space="preserve"> </v>
      </c>
      <c r="AJ85" s="204">
        <f t="shared" si="39"/>
        <v>10.333333333333334</v>
      </c>
      <c r="AK85" s="74"/>
      <c r="AL85" s="74"/>
      <c r="AM85" s="79"/>
      <c r="AN85" s="79"/>
      <c r="AO85" s="79"/>
      <c r="AP85" s="79"/>
      <c r="AQ85" s="79"/>
      <c r="AR85" s="79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</row>
    <row r="86" spans="1:179" ht="12" x14ac:dyDescent="0.2">
      <c r="A86" s="393" t="s">
        <v>46</v>
      </c>
      <c r="B86" s="394">
        <f t="shared" ref="B86:AE86" si="40">+B84+B85</f>
        <v>0</v>
      </c>
      <c r="C86" s="394">
        <f t="shared" si="40"/>
        <v>0</v>
      </c>
      <c r="D86" s="394">
        <f t="shared" si="40"/>
        <v>0</v>
      </c>
      <c r="E86" s="394">
        <f t="shared" si="40"/>
        <v>0</v>
      </c>
      <c r="F86" s="394">
        <f t="shared" si="40"/>
        <v>0</v>
      </c>
      <c r="G86" s="394">
        <f t="shared" si="40"/>
        <v>0</v>
      </c>
      <c r="H86" s="394">
        <f t="shared" si="40"/>
        <v>0</v>
      </c>
      <c r="I86" s="394">
        <f t="shared" si="40"/>
        <v>7</v>
      </c>
      <c r="J86" s="394">
        <f t="shared" si="40"/>
        <v>5</v>
      </c>
      <c r="K86" s="394">
        <f t="shared" si="40"/>
        <v>9</v>
      </c>
      <c r="L86" s="394">
        <f t="shared" si="40"/>
        <v>4</v>
      </c>
      <c r="M86" s="394">
        <f t="shared" si="40"/>
        <v>12</v>
      </c>
      <c r="N86" s="394">
        <f t="shared" si="40"/>
        <v>8</v>
      </c>
      <c r="O86" s="395">
        <f t="shared" si="40"/>
        <v>11</v>
      </c>
      <c r="P86" s="395">
        <f t="shared" si="40"/>
        <v>7</v>
      </c>
      <c r="Q86" s="396">
        <f t="shared" si="40"/>
        <v>20</v>
      </c>
      <c r="R86" s="396">
        <f t="shared" si="40"/>
        <v>22</v>
      </c>
      <c r="S86" s="396">
        <f t="shared" si="40"/>
        <v>14</v>
      </c>
      <c r="T86" s="396">
        <f t="shared" si="40"/>
        <v>25</v>
      </c>
      <c r="U86" s="466">
        <f t="shared" si="40"/>
        <v>24</v>
      </c>
      <c r="V86" s="619">
        <f t="shared" si="40"/>
        <v>18</v>
      </c>
      <c r="W86" s="397">
        <f t="shared" si="40"/>
        <v>27</v>
      </c>
      <c r="X86" s="394">
        <f t="shared" si="40"/>
        <v>20</v>
      </c>
      <c r="Y86" s="394">
        <f t="shared" si="40"/>
        <v>7</v>
      </c>
      <c r="Z86" s="394">
        <f t="shared" si="40"/>
        <v>19</v>
      </c>
      <c r="AA86" s="394">
        <f t="shared" si="40"/>
        <v>21</v>
      </c>
      <c r="AB86" s="394">
        <f t="shared" si="40"/>
        <v>15</v>
      </c>
      <c r="AC86" s="394">
        <f t="shared" si="40"/>
        <v>19</v>
      </c>
      <c r="AD86" s="394">
        <f t="shared" si="40"/>
        <v>11</v>
      </c>
      <c r="AE86" s="394">
        <f t="shared" si="40"/>
        <v>12</v>
      </c>
      <c r="AF86" s="652">
        <f>+AF85+AF84</f>
        <v>8</v>
      </c>
      <c r="AG86" s="684" t="str">
        <f t="shared" si="36"/>
        <v xml:space="preserve"> </v>
      </c>
      <c r="AH86" s="398" t="str">
        <f t="shared" si="37"/>
        <v xml:space="preserve"> </v>
      </c>
      <c r="AI86" s="399" t="str">
        <f t="shared" si="38"/>
        <v xml:space="preserve"> </v>
      </c>
      <c r="AJ86" s="394">
        <f t="shared" si="39"/>
        <v>10.333333333333334</v>
      </c>
      <c r="AK86" s="74"/>
      <c r="AL86" s="74"/>
      <c r="AM86" s="79"/>
      <c r="AN86" s="79"/>
      <c r="AO86" s="79"/>
      <c r="AP86" s="79"/>
      <c r="AQ86" s="79"/>
      <c r="AR86" s="79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</row>
    <row r="87" spans="1:179" ht="12" x14ac:dyDescent="0.2">
      <c r="A87" s="441" t="s">
        <v>47</v>
      </c>
      <c r="B87" s="442"/>
      <c r="C87" s="442"/>
      <c r="D87" s="442"/>
      <c r="E87" s="442"/>
      <c r="F87" s="442"/>
      <c r="G87" s="442"/>
      <c r="H87" s="442"/>
      <c r="I87" s="442"/>
      <c r="J87" s="442"/>
      <c r="K87" s="442"/>
      <c r="L87" s="442"/>
      <c r="M87" s="442"/>
      <c r="N87" s="442"/>
      <c r="O87" s="442"/>
      <c r="P87" s="442"/>
      <c r="Q87" s="442"/>
      <c r="R87" s="442"/>
      <c r="S87" s="442"/>
      <c r="T87" s="442"/>
      <c r="U87" s="442"/>
      <c r="V87" s="442"/>
      <c r="W87" s="442"/>
      <c r="X87" s="442"/>
      <c r="Y87" s="442"/>
      <c r="Z87" s="442"/>
      <c r="AA87" s="442"/>
      <c r="AB87" s="442"/>
      <c r="AC87" s="442"/>
      <c r="AD87" s="442"/>
      <c r="AE87" s="442"/>
      <c r="AF87" s="442"/>
      <c r="AG87" s="442"/>
      <c r="AH87" s="442"/>
      <c r="AI87" s="442"/>
      <c r="AJ87" s="443"/>
      <c r="AK87" s="74"/>
      <c r="AL87" s="74"/>
      <c r="AM87" s="79"/>
      <c r="AN87" s="79"/>
      <c r="AO87" s="79"/>
      <c r="AP87" s="79"/>
      <c r="AQ87" s="79"/>
      <c r="AR87" s="79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</row>
    <row r="88" spans="1:179" ht="12" x14ac:dyDescent="0.2">
      <c r="A88" s="305" t="s">
        <v>135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14"/>
      <c r="N88" s="114"/>
      <c r="O88" s="248"/>
      <c r="P88" s="248"/>
      <c r="Q88" s="278"/>
      <c r="R88" s="278">
        <v>0</v>
      </c>
      <c r="S88" s="278"/>
      <c r="T88" s="278">
        <v>0</v>
      </c>
      <c r="U88" s="439"/>
      <c r="V88" s="620">
        <v>8</v>
      </c>
      <c r="W88" s="154">
        <v>0</v>
      </c>
      <c r="X88" s="77">
        <v>1</v>
      </c>
      <c r="Y88" s="77">
        <v>7</v>
      </c>
      <c r="Z88" s="114">
        <v>7</v>
      </c>
      <c r="AA88" s="114">
        <v>9</v>
      </c>
      <c r="AB88" s="114">
        <v>5</v>
      </c>
      <c r="AC88" s="114">
        <v>14</v>
      </c>
      <c r="AD88" s="114">
        <v>8</v>
      </c>
      <c r="AE88" s="114">
        <v>4</v>
      </c>
      <c r="AF88" s="653">
        <v>2</v>
      </c>
      <c r="AG88" s="674" t="str">
        <f t="shared" ref="AG88:AG92" si="41">IF(AF88=0," ",IF(AJ88&gt;20,(AF88-AE88)/AE88," "))</f>
        <v xml:space="preserve"> </v>
      </c>
      <c r="AH88" s="284" t="str">
        <f t="shared" ref="AH88:AH92" si="42">IF(AF88=0," ",IF(AJ88&gt;20,(AF88-AA88)/AA88," "))</f>
        <v xml:space="preserve"> </v>
      </c>
      <c r="AI88" s="285" t="str">
        <f t="shared" ref="AI88:AI92" si="43">IF(AF88=0," ",(IF(AJ88&gt;20,(AF88-V88)/V88," ")))</f>
        <v xml:space="preserve"> </v>
      </c>
      <c r="AJ88" s="205">
        <f t="shared" ref="AJ88:AJ92" si="44">IF(AD88&gt;0,AVERAGE(AD88:AF88),"  ")</f>
        <v>4.666666666666667</v>
      </c>
      <c r="AK88" s="74"/>
      <c r="AL88" s="74"/>
      <c r="AM88" s="79"/>
      <c r="AN88" s="79"/>
      <c r="AO88" s="79"/>
      <c r="AP88" s="79"/>
      <c r="AQ88" s="79"/>
      <c r="AR88" s="79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</row>
    <row r="89" spans="1:179" ht="12" x14ac:dyDescent="0.2">
      <c r="A89" s="341" t="s">
        <v>134</v>
      </c>
      <c r="B89" s="215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6"/>
      <c r="N89" s="216"/>
      <c r="O89" s="241"/>
      <c r="P89" s="241"/>
      <c r="Q89" s="274"/>
      <c r="R89" s="274"/>
      <c r="S89" s="274"/>
      <c r="T89" s="274"/>
      <c r="U89" s="439"/>
      <c r="V89" s="621"/>
      <c r="W89" s="527"/>
      <c r="X89" s="528"/>
      <c r="Y89" s="529"/>
      <c r="Z89" s="530"/>
      <c r="AA89" s="531"/>
      <c r="AB89" s="532"/>
      <c r="AC89" s="532"/>
      <c r="AD89" s="530"/>
      <c r="AE89" s="218">
        <v>1</v>
      </c>
      <c r="AF89" s="654">
        <v>0</v>
      </c>
      <c r="AG89" s="685" t="str">
        <f t="shared" si="41"/>
        <v xml:space="preserve"> </v>
      </c>
      <c r="AH89" s="158" t="str">
        <f t="shared" si="42"/>
        <v xml:space="preserve"> </v>
      </c>
      <c r="AI89" s="159" t="str">
        <f t="shared" si="43"/>
        <v xml:space="preserve"> </v>
      </c>
      <c r="AJ89" s="105" t="str">
        <f t="shared" si="44"/>
        <v xml:space="preserve">  </v>
      </c>
      <c r="AK89" s="74"/>
      <c r="AL89" s="74"/>
      <c r="AM89" s="79"/>
      <c r="AN89" s="79"/>
      <c r="AO89" s="79"/>
      <c r="AP89" s="79"/>
      <c r="AQ89" s="79"/>
      <c r="AR89" s="79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</row>
    <row r="90" spans="1:179" s="343" customFormat="1" ht="12" x14ac:dyDescent="0.2">
      <c r="A90" s="341" t="s">
        <v>98</v>
      </c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6"/>
      <c r="N90" s="216"/>
      <c r="O90" s="241"/>
      <c r="P90" s="241"/>
      <c r="Q90" s="274"/>
      <c r="R90" s="274">
        <v>0</v>
      </c>
      <c r="S90" s="274"/>
      <c r="T90" s="274">
        <v>0</v>
      </c>
      <c r="U90" s="467">
        <v>5</v>
      </c>
      <c r="V90" s="622">
        <v>0</v>
      </c>
      <c r="W90" s="217">
        <v>0</v>
      </c>
      <c r="X90" s="218">
        <v>0</v>
      </c>
      <c r="Y90" s="218">
        <v>7</v>
      </c>
      <c r="Z90" s="216">
        <v>0</v>
      </c>
      <c r="AA90" s="216">
        <v>0</v>
      </c>
      <c r="AB90" s="216">
        <v>0</v>
      </c>
      <c r="AC90" s="216">
        <v>0</v>
      </c>
      <c r="AD90" s="216">
        <v>0</v>
      </c>
      <c r="AE90" s="216">
        <v>0</v>
      </c>
      <c r="AF90" s="654">
        <v>1</v>
      </c>
      <c r="AG90" s="685"/>
      <c r="AH90" s="158"/>
      <c r="AI90" s="159"/>
      <c r="AJ90" s="105" t="str">
        <f t="shared" si="44"/>
        <v xml:space="preserve">  </v>
      </c>
      <c r="AK90" s="342"/>
      <c r="AL90" s="342"/>
      <c r="AM90" s="342"/>
      <c r="AN90" s="342"/>
      <c r="AO90" s="342"/>
      <c r="AP90" s="342"/>
      <c r="AQ90" s="342"/>
      <c r="AR90" s="342"/>
    </row>
    <row r="91" spans="1:179" ht="12" x14ac:dyDescent="0.2">
      <c r="A91" s="400" t="s">
        <v>99</v>
      </c>
      <c r="B91" s="65">
        <v>10</v>
      </c>
      <c r="C91" s="423">
        <v>5</v>
      </c>
      <c r="D91" s="65">
        <v>10</v>
      </c>
      <c r="E91" s="65">
        <v>7</v>
      </c>
      <c r="F91" s="65">
        <v>11</v>
      </c>
      <c r="G91" s="65">
        <v>13</v>
      </c>
      <c r="H91" s="6">
        <v>8</v>
      </c>
      <c r="I91" s="6">
        <v>5</v>
      </c>
      <c r="J91" s="66">
        <v>6</v>
      </c>
      <c r="K91" s="65">
        <f>1+5</f>
        <v>6</v>
      </c>
      <c r="L91" s="65">
        <v>7</v>
      </c>
      <c r="M91" s="65">
        <v>7</v>
      </c>
      <c r="N91" s="6">
        <v>2</v>
      </c>
      <c r="O91" s="221">
        <v>8</v>
      </c>
      <c r="P91" s="221">
        <v>4</v>
      </c>
      <c r="Q91" s="261">
        <v>4</v>
      </c>
      <c r="R91" s="261">
        <v>14</v>
      </c>
      <c r="S91" s="290">
        <v>8</v>
      </c>
      <c r="T91" s="261">
        <v>17</v>
      </c>
      <c r="U91" s="452">
        <v>6</v>
      </c>
      <c r="V91" s="597">
        <v>6</v>
      </c>
      <c r="W91" s="231">
        <v>3</v>
      </c>
      <c r="X91" s="6">
        <v>1</v>
      </c>
      <c r="Y91" s="6">
        <v>2</v>
      </c>
      <c r="Z91" s="66">
        <v>0</v>
      </c>
      <c r="AA91" s="66">
        <v>0</v>
      </c>
      <c r="AB91" s="66">
        <v>1</v>
      </c>
      <c r="AC91" s="66">
        <v>0</v>
      </c>
      <c r="AD91" s="66">
        <v>2</v>
      </c>
      <c r="AE91" s="66">
        <v>1</v>
      </c>
      <c r="AF91" s="645">
        <v>2</v>
      </c>
      <c r="AG91" s="683" t="str">
        <f t="shared" si="41"/>
        <v xml:space="preserve"> </v>
      </c>
      <c r="AH91" s="162" t="str">
        <f t="shared" si="42"/>
        <v xml:space="preserve"> </v>
      </c>
      <c r="AI91" s="163" t="str">
        <f t="shared" si="43"/>
        <v xml:space="preserve"> </v>
      </c>
      <c r="AJ91" s="204">
        <f t="shared" si="44"/>
        <v>1.6666666666666667</v>
      </c>
      <c r="AK91" s="74"/>
      <c r="AL91" s="74"/>
      <c r="AM91" s="79"/>
      <c r="AN91" s="79"/>
      <c r="AO91" s="79"/>
      <c r="AP91" s="79"/>
      <c r="AQ91" s="79"/>
      <c r="AR91" s="79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</row>
    <row r="92" spans="1:179" ht="12" x14ac:dyDescent="0.2">
      <c r="A92" s="393" t="s">
        <v>59</v>
      </c>
      <c r="B92" s="394">
        <f t="shared" ref="B92:T92" si="45">+B88+B91+B90</f>
        <v>10</v>
      </c>
      <c r="C92" s="394">
        <f t="shared" si="45"/>
        <v>5</v>
      </c>
      <c r="D92" s="394">
        <f t="shared" si="45"/>
        <v>10</v>
      </c>
      <c r="E92" s="394">
        <f t="shared" si="45"/>
        <v>7</v>
      </c>
      <c r="F92" s="394">
        <f t="shared" si="45"/>
        <v>11</v>
      </c>
      <c r="G92" s="394">
        <f t="shared" si="45"/>
        <v>13</v>
      </c>
      <c r="H92" s="394">
        <f t="shared" si="45"/>
        <v>8</v>
      </c>
      <c r="I92" s="394">
        <f t="shared" si="45"/>
        <v>5</v>
      </c>
      <c r="J92" s="394">
        <f t="shared" si="45"/>
        <v>6</v>
      </c>
      <c r="K92" s="394">
        <f t="shared" si="45"/>
        <v>6</v>
      </c>
      <c r="L92" s="394">
        <f t="shared" si="45"/>
        <v>7</v>
      </c>
      <c r="M92" s="394">
        <f t="shared" si="45"/>
        <v>7</v>
      </c>
      <c r="N92" s="394">
        <f t="shared" si="45"/>
        <v>2</v>
      </c>
      <c r="O92" s="395">
        <f t="shared" si="45"/>
        <v>8</v>
      </c>
      <c r="P92" s="395">
        <f t="shared" si="45"/>
        <v>4</v>
      </c>
      <c r="Q92" s="396">
        <f t="shared" si="45"/>
        <v>4</v>
      </c>
      <c r="R92" s="396">
        <f t="shared" si="45"/>
        <v>14</v>
      </c>
      <c r="S92" s="396">
        <f t="shared" si="45"/>
        <v>8</v>
      </c>
      <c r="T92" s="396">
        <f t="shared" si="45"/>
        <v>17</v>
      </c>
      <c r="U92" s="466">
        <f>SUM(U88:U91)</f>
        <v>11</v>
      </c>
      <c r="V92" s="619">
        <f t="shared" ref="V92:AF92" si="46">SUM(V88:V91)</f>
        <v>14</v>
      </c>
      <c r="W92" s="397">
        <f t="shared" si="46"/>
        <v>3</v>
      </c>
      <c r="X92" s="394">
        <f t="shared" si="46"/>
        <v>2</v>
      </c>
      <c r="Y92" s="394">
        <f t="shared" si="46"/>
        <v>16</v>
      </c>
      <c r="Z92" s="394">
        <f t="shared" si="46"/>
        <v>7</v>
      </c>
      <c r="AA92" s="394">
        <f t="shared" si="46"/>
        <v>9</v>
      </c>
      <c r="AB92" s="394">
        <f t="shared" si="46"/>
        <v>6</v>
      </c>
      <c r="AC92" s="394">
        <f t="shared" si="46"/>
        <v>14</v>
      </c>
      <c r="AD92" s="394">
        <f t="shared" si="46"/>
        <v>10</v>
      </c>
      <c r="AE92" s="394">
        <f t="shared" si="46"/>
        <v>6</v>
      </c>
      <c r="AF92" s="395">
        <f t="shared" si="46"/>
        <v>5</v>
      </c>
      <c r="AG92" s="686" t="str">
        <f t="shared" si="41"/>
        <v xml:space="preserve"> </v>
      </c>
      <c r="AH92" s="429" t="str">
        <f t="shared" si="42"/>
        <v xml:space="preserve"> </v>
      </c>
      <c r="AI92" s="429" t="str">
        <f t="shared" si="43"/>
        <v xml:space="preserve"> </v>
      </c>
      <c r="AJ92" s="394">
        <f t="shared" si="44"/>
        <v>7</v>
      </c>
      <c r="AK92" s="74"/>
      <c r="AL92" s="74"/>
      <c r="AM92" s="79"/>
      <c r="AN92" s="79"/>
      <c r="AO92" s="79"/>
      <c r="AP92" s="79"/>
      <c r="AQ92" s="79"/>
      <c r="AR92" s="79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</row>
    <row r="93" spans="1:179" ht="12" x14ac:dyDescent="0.2">
      <c r="A93" s="441" t="s">
        <v>100</v>
      </c>
      <c r="B93" s="442"/>
      <c r="C93" s="442"/>
      <c r="D93" s="442"/>
      <c r="E93" s="442"/>
      <c r="F93" s="442"/>
      <c r="G93" s="442"/>
      <c r="H93" s="442"/>
      <c r="I93" s="442"/>
      <c r="J93" s="442"/>
      <c r="K93" s="442"/>
      <c r="L93" s="442"/>
      <c r="M93" s="442"/>
      <c r="N93" s="442"/>
      <c r="O93" s="442"/>
      <c r="P93" s="442"/>
      <c r="Q93" s="442"/>
      <c r="R93" s="442"/>
      <c r="S93" s="442"/>
      <c r="T93" s="442"/>
      <c r="U93" s="442"/>
      <c r="V93" s="442"/>
      <c r="W93" s="442"/>
      <c r="X93" s="442"/>
      <c r="Y93" s="442"/>
      <c r="Z93" s="442"/>
      <c r="AA93" s="442"/>
      <c r="AB93" s="442"/>
      <c r="AC93" s="442"/>
      <c r="AD93" s="442"/>
      <c r="AE93" s="442"/>
      <c r="AF93" s="442"/>
      <c r="AG93" s="442"/>
      <c r="AH93" s="442"/>
      <c r="AI93" s="442"/>
      <c r="AJ93" s="443"/>
      <c r="AK93" s="74"/>
      <c r="AL93" s="74"/>
      <c r="AM93" s="79"/>
      <c r="AN93" s="79"/>
      <c r="AO93" s="79"/>
      <c r="AP93" s="79"/>
      <c r="AQ93" s="79"/>
      <c r="AR93" s="79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</row>
    <row r="94" spans="1:179" ht="12" x14ac:dyDescent="0.2">
      <c r="A94" s="391" t="s">
        <v>90</v>
      </c>
      <c r="B94" s="406"/>
      <c r="C94" s="406"/>
      <c r="D94" s="406"/>
      <c r="E94" s="406"/>
      <c r="F94" s="406"/>
      <c r="G94" s="406"/>
      <c r="H94" s="406"/>
      <c r="I94" s="406"/>
      <c r="J94" s="406"/>
      <c r="K94" s="406"/>
      <c r="L94" s="406"/>
      <c r="M94" s="406"/>
      <c r="N94" s="406"/>
      <c r="O94" s="407"/>
      <c r="P94" s="407"/>
      <c r="Q94" s="408"/>
      <c r="R94" s="408"/>
      <c r="S94" s="408"/>
      <c r="T94" s="408"/>
      <c r="U94" s="464"/>
      <c r="V94" s="623"/>
      <c r="W94" s="481"/>
      <c r="X94" s="521"/>
      <c r="Y94" s="440">
        <v>11</v>
      </c>
      <c r="Z94" s="437">
        <v>34</v>
      </c>
      <c r="AA94" s="437">
        <v>41</v>
      </c>
      <c r="AB94" s="437">
        <v>38</v>
      </c>
      <c r="AC94" s="437">
        <v>62</v>
      </c>
      <c r="AD94" s="437">
        <v>62</v>
      </c>
      <c r="AE94" s="437">
        <v>58</v>
      </c>
      <c r="AF94" s="655">
        <v>49</v>
      </c>
      <c r="AG94" s="674">
        <f t="shared" ref="AG94:AG97" si="47">IF(AF94=0," ",IF(AJ94&gt;20,(AF94-AE94)/AE94," "))</f>
        <v>-0.15517241379310345</v>
      </c>
      <c r="AH94" s="284">
        <f t="shared" ref="AH94:AH97" si="48">IF(AF94=0," ",IF(AJ94&gt;20,(AF94-AA94)/AA94," "))</f>
        <v>0.1951219512195122</v>
      </c>
      <c r="AI94" s="285"/>
      <c r="AJ94" s="205">
        <f t="shared" ref="AJ94:AJ97" si="49">IF(AD94&gt;0,AVERAGE(AD94:AF94),"  ")</f>
        <v>56.333333333333336</v>
      </c>
      <c r="AK94" s="74"/>
      <c r="AL94" s="74"/>
      <c r="AM94" s="79"/>
      <c r="AN94" s="79"/>
      <c r="AO94" s="79"/>
      <c r="AP94" s="79"/>
      <c r="AQ94" s="79"/>
      <c r="AR94" s="79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</row>
    <row r="95" spans="1:179" ht="12" x14ac:dyDescent="0.2">
      <c r="A95" s="392" t="s">
        <v>110</v>
      </c>
      <c r="B95" s="302"/>
      <c r="C95" s="302"/>
      <c r="D95" s="302"/>
      <c r="E95" s="302"/>
      <c r="F95" s="302"/>
      <c r="G95" s="302"/>
      <c r="H95" s="302"/>
      <c r="I95" s="302"/>
      <c r="J95" s="302"/>
      <c r="K95" s="302"/>
      <c r="L95" s="302"/>
      <c r="M95" s="302"/>
      <c r="N95" s="302"/>
      <c r="O95" s="409"/>
      <c r="P95" s="409"/>
      <c r="Q95" s="410"/>
      <c r="R95" s="410"/>
      <c r="S95" s="410"/>
      <c r="T95" s="410"/>
      <c r="U95" s="468">
        <v>79</v>
      </c>
      <c r="V95" s="624">
        <v>71</v>
      </c>
      <c r="W95" s="411">
        <v>119</v>
      </c>
      <c r="X95" s="303">
        <v>126</v>
      </c>
      <c r="Y95" s="7">
        <v>149</v>
      </c>
      <c r="Z95" s="7">
        <v>135</v>
      </c>
      <c r="AA95" s="7">
        <v>135</v>
      </c>
      <c r="AB95" s="7">
        <v>154</v>
      </c>
      <c r="AC95" s="7">
        <v>134</v>
      </c>
      <c r="AD95" s="7">
        <v>109</v>
      </c>
      <c r="AE95" s="7">
        <v>102</v>
      </c>
      <c r="AF95" s="656">
        <f>155-49</f>
        <v>106</v>
      </c>
      <c r="AG95" s="683">
        <f t="shared" si="47"/>
        <v>3.9215686274509803E-2</v>
      </c>
      <c r="AH95" s="162">
        <f t="shared" si="48"/>
        <v>-0.21481481481481482</v>
      </c>
      <c r="AI95" s="163"/>
      <c r="AJ95" s="204">
        <f t="shared" si="49"/>
        <v>105.66666666666667</v>
      </c>
      <c r="AK95" s="74"/>
      <c r="AL95" s="74"/>
      <c r="AM95" s="79"/>
      <c r="AN95" s="79"/>
      <c r="AO95" s="79"/>
      <c r="AP95" s="79"/>
      <c r="AQ95" s="79"/>
      <c r="AR95" s="79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</row>
    <row r="96" spans="1:179" ht="12" x14ac:dyDescent="0.2">
      <c r="A96" s="390" t="s">
        <v>101</v>
      </c>
      <c r="B96" s="100">
        <v>0</v>
      </c>
      <c r="C96" s="100">
        <v>0</v>
      </c>
      <c r="D96" s="100">
        <v>4</v>
      </c>
      <c r="E96" s="100">
        <v>0</v>
      </c>
      <c r="F96" s="100">
        <v>0</v>
      </c>
      <c r="G96" s="100">
        <v>0</v>
      </c>
      <c r="H96" s="101">
        <v>0</v>
      </c>
      <c r="I96" s="101">
        <v>0</v>
      </c>
      <c r="J96" s="100">
        <v>19</v>
      </c>
      <c r="K96" s="100">
        <v>29</v>
      </c>
      <c r="L96" s="100">
        <v>31</v>
      </c>
      <c r="M96" s="100">
        <v>45</v>
      </c>
      <c r="N96" s="101">
        <v>27</v>
      </c>
      <c r="O96" s="224">
        <v>39</v>
      </c>
      <c r="P96" s="224">
        <v>46</v>
      </c>
      <c r="Q96" s="264">
        <v>62</v>
      </c>
      <c r="R96" s="264">
        <v>54</v>
      </c>
      <c r="S96" s="292">
        <v>72</v>
      </c>
      <c r="T96" s="264">
        <v>73</v>
      </c>
      <c r="U96" s="455">
        <f>U95</f>
        <v>79</v>
      </c>
      <c r="V96" s="600">
        <v>71</v>
      </c>
      <c r="W96" s="233">
        <v>119</v>
      </c>
      <c r="X96" s="101">
        <v>126</v>
      </c>
      <c r="Y96" s="101">
        <f>+Y95+Y94</f>
        <v>160</v>
      </c>
      <c r="Z96" s="100">
        <f t="shared" ref="Z96:AD96" si="50">Z95+Z94</f>
        <v>169</v>
      </c>
      <c r="AA96" s="100">
        <f t="shared" si="50"/>
        <v>176</v>
      </c>
      <c r="AB96" s="100">
        <f t="shared" si="50"/>
        <v>192</v>
      </c>
      <c r="AC96" s="100">
        <f t="shared" si="50"/>
        <v>196</v>
      </c>
      <c r="AD96" s="100">
        <f t="shared" si="50"/>
        <v>171</v>
      </c>
      <c r="AE96" s="100">
        <f>AE95+AE94</f>
        <v>160</v>
      </c>
      <c r="AF96" s="657">
        <f>AF95+AF94</f>
        <v>155</v>
      </c>
      <c r="AG96" s="687">
        <f t="shared" si="47"/>
        <v>-3.125E-2</v>
      </c>
      <c r="AH96" s="430">
        <f t="shared" si="48"/>
        <v>-0.11931818181818182</v>
      </c>
      <c r="AI96" s="430">
        <f t="shared" ref="AI96:AI97" si="51">IF(AF96=0," ",(IF(AJ96&gt;20,(AF96-V96)/V96," ")))</f>
        <v>1.1830985915492958</v>
      </c>
      <c r="AJ96" s="100">
        <f t="shared" si="49"/>
        <v>162</v>
      </c>
      <c r="AK96" s="74"/>
      <c r="AL96" s="74"/>
      <c r="AM96" s="79"/>
      <c r="AN96" s="79"/>
      <c r="AO96" s="79"/>
      <c r="AP96" s="79"/>
      <c r="AQ96" s="79"/>
      <c r="AR96" s="79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</row>
    <row r="97" spans="1:179" ht="12.75" thickBot="1" x14ac:dyDescent="0.25">
      <c r="A97" s="344" t="s">
        <v>48</v>
      </c>
      <c r="B97" s="108">
        <f t="shared" ref="B97:AD97" si="52">+B96+B92+B86</f>
        <v>10</v>
      </c>
      <c r="C97" s="108">
        <f t="shared" si="52"/>
        <v>5</v>
      </c>
      <c r="D97" s="108">
        <f t="shared" si="52"/>
        <v>14</v>
      </c>
      <c r="E97" s="108">
        <f t="shared" si="52"/>
        <v>7</v>
      </c>
      <c r="F97" s="108">
        <f t="shared" si="52"/>
        <v>11</v>
      </c>
      <c r="G97" s="108">
        <f t="shared" si="52"/>
        <v>13</v>
      </c>
      <c r="H97" s="108">
        <f t="shared" si="52"/>
        <v>8</v>
      </c>
      <c r="I97" s="108">
        <f t="shared" si="52"/>
        <v>12</v>
      </c>
      <c r="J97" s="108">
        <f t="shared" si="52"/>
        <v>30</v>
      </c>
      <c r="K97" s="108">
        <f t="shared" si="52"/>
        <v>44</v>
      </c>
      <c r="L97" s="108">
        <f t="shared" si="52"/>
        <v>42</v>
      </c>
      <c r="M97" s="108">
        <f t="shared" si="52"/>
        <v>64</v>
      </c>
      <c r="N97" s="108">
        <f t="shared" si="52"/>
        <v>37</v>
      </c>
      <c r="O97" s="243">
        <f t="shared" si="52"/>
        <v>58</v>
      </c>
      <c r="P97" s="258">
        <f t="shared" si="52"/>
        <v>57</v>
      </c>
      <c r="Q97" s="275">
        <f t="shared" si="52"/>
        <v>86</v>
      </c>
      <c r="R97" s="275">
        <f t="shared" si="52"/>
        <v>90</v>
      </c>
      <c r="S97" s="275">
        <f t="shared" si="52"/>
        <v>94</v>
      </c>
      <c r="T97" s="275">
        <f t="shared" si="52"/>
        <v>115</v>
      </c>
      <c r="U97" s="469">
        <f t="shared" si="52"/>
        <v>114</v>
      </c>
      <c r="V97" s="625">
        <f t="shared" si="52"/>
        <v>103</v>
      </c>
      <c r="W97" s="152">
        <f t="shared" si="52"/>
        <v>149</v>
      </c>
      <c r="X97" s="108">
        <f t="shared" si="52"/>
        <v>148</v>
      </c>
      <c r="Y97" s="108">
        <f t="shared" si="52"/>
        <v>183</v>
      </c>
      <c r="Z97" s="108">
        <f t="shared" si="52"/>
        <v>195</v>
      </c>
      <c r="AA97" s="108">
        <f t="shared" si="52"/>
        <v>206</v>
      </c>
      <c r="AB97" s="108">
        <f t="shared" si="52"/>
        <v>213</v>
      </c>
      <c r="AC97" s="108">
        <f t="shared" si="52"/>
        <v>229</v>
      </c>
      <c r="AD97" s="108">
        <f t="shared" si="52"/>
        <v>192</v>
      </c>
      <c r="AE97" s="108">
        <f>+AE96+AE92+AE86</f>
        <v>178</v>
      </c>
      <c r="AF97" s="243">
        <f>+AF96+AF92+AF86</f>
        <v>168</v>
      </c>
      <c r="AG97" s="688">
        <f t="shared" si="47"/>
        <v>-5.6179775280898875E-2</v>
      </c>
      <c r="AH97" s="197">
        <f t="shared" si="48"/>
        <v>-0.18446601941747573</v>
      </c>
      <c r="AI97" s="197">
        <f t="shared" si="51"/>
        <v>0.6310679611650486</v>
      </c>
      <c r="AJ97" s="108">
        <f t="shared" si="49"/>
        <v>179.33333333333334</v>
      </c>
      <c r="AK97" s="74"/>
      <c r="AL97" s="74"/>
      <c r="AM97" s="79"/>
      <c r="AN97" s="79"/>
      <c r="AO97" s="79"/>
      <c r="AP97" s="79"/>
      <c r="AQ97" s="79"/>
      <c r="AR97" s="7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</row>
    <row r="98" spans="1:179" ht="13.5" thickTop="1" x14ac:dyDescent="0.2">
      <c r="A98" s="345" t="s">
        <v>49</v>
      </c>
      <c r="B98" s="8"/>
      <c r="C98" s="8"/>
      <c r="D98" s="8"/>
      <c r="E98" s="8"/>
      <c r="F98" s="8"/>
      <c r="G98" s="9"/>
      <c r="H98" s="9"/>
      <c r="I98" s="9"/>
      <c r="J98" s="9"/>
      <c r="K98" s="8"/>
      <c r="L98" s="8"/>
      <c r="M98" s="8"/>
      <c r="N98" s="8"/>
      <c r="O98" s="10"/>
      <c r="P98" s="10"/>
      <c r="Q98" s="10"/>
      <c r="R98" s="10"/>
      <c r="S98" s="10"/>
      <c r="T98" s="11"/>
      <c r="U98" s="11"/>
      <c r="V98" s="11"/>
      <c r="W98" s="11"/>
      <c r="X98" s="11"/>
      <c r="Y98" s="11"/>
      <c r="Z98" s="12"/>
      <c r="AA98" s="12"/>
      <c r="AB98" s="12"/>
      <c r="AC98" s="12"/>
      <c r="AD98" s="12"/>
      <c r="AE98" s="12"/>
      <c r="AF98" s="12"/>
      <c r="AG98" s="195"/>
      <c r="AH98" s="196"/>
      <c r="AI98" s="195"/>
      <c r="AJ98" s="13"/>
      <c r="AK98" s="74"/>
      <c r="AL98" s="74"/>
      <c r="AM98" s="79"/>
      <c r="AN98" s="79"/>
      <c r="AO98" s="79"/>
      <c r="AP98" s="79"/>
      <c r="AQ98" s="79"/>
      <c r="AR98" s="79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</row>
    <row r="99" spans="1:179" ht="12" x14ac:dyDescent="0.2">
      <c r="A99" s="346" t="s">
        <v>76</v>
      </c>
      <c r="B99" s="134"/>
      <c r="C99" s="138"/>
      <c r="D99" s="138"/>
      <c r="E99" s="138"/>
      <c r="F99" s="138"/>
      <c r="G99" s="138"/>
      <c r="H99" s="139">
        <v>0</v>
      </c>
      <c r="I99" s="139"/>
      <c r="J99" s="140"/>
      <c r="K99" s="138"/>
      <c r="L99" s="138">
        <v>0</v>
      </c>
      <c r="M99" s="138"/>
      <c r="N99" s="139">
        <v>0</v>
      </c>
      <c r="O99" s="244">
        <v>0</v>
      </c>
      <c r="P99" s="259">
        <v>0</v>
      </c>
      <c r="Q99" s="276">
        <v>0</v>
      </c>
      <c r="R99" s="276">
        <v>15</v>
      </c>
      <c r="S99" s="295">
        <v>15</v>
      </c>
      <c r="T99" s="276">
        <v>12</v>
      </c>
      <c r="U99" s="470">
        <v>13</v>
      </c>
      <c r="V99" s="626">
        <v>19</v>
      </c>
      <c r="W99" s="474">
        <v>18</v>
      </c>
      <c r="X99" s="135">
        <v>18</v>
      </c>
      <c r="Y99" s="135">
        <v>18</v>
      </c>
      <c r="Z99" s="257">
        <v>19</v>
      </c>
      <c r="AA99" s="257">
        <v>10</v>
      </c>
      <c r="AB99" s="257">
        <v>21</v>
      </c>
      <c r="AC99" s="257">
        <v>10</v>
      </c>
      <c r="AD99" s="257">
        <v>6</v>
      </c>
      <c r="AE99" s="257">
        <v>8</v>
      </c>
      <c r="AF99" s="68">
        <v>13</v>
      </c>
      <c r="AG99" s="674" t="str">
        <f t="shared" ref="AG99:AG103" si="53">IF(AF99=0," ",IF(AJ99&gt;20,(AF99-AE99)/AE99," "))</f>
        <v xml:space="preserve"> </v>
      </c>
      <c r="AH99" s="187" t="str">
        <f t="shared" ref="AH99:AH103" si="54">IF(AF99=0," ",IF(AJ99&gt;20,(AF99-AA99)/AA99," "))</f>
        <v xml:space="preserve"> </v>
      </c>
      <c r="AI99" s="188" t="str">
        <f t="shared" ref="AI99:AI103" si="55">IF(AF99=0," ",(IF(AJ99&gt;20,(AF99-V99)/V99," ")))</f>
        <v xml:space="preserve"> </v>
      </c>
      <c r="AJ99" s="203">
        <f t="shared" ref="AJ99:AJ103" si="56">IF(AD99&gt;0,AVERAGE(AD99:AF99),"  ")</f>
        <v>9</v>
      </c>
      <c r="AK99" s="74"/>
      <c r="AL99" s="74"/>
      <c r="AM99" s="79"/>
      <c r="AN99" s="79"/>
      <c r="AO99" s="79"/>
      <c r="AP99" s="79"/>
      <c r="AQ99" s="79"/>
      <c r="AR99" s="79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</row>
    <row r="100" spans="1:179" ht="12" x14ac:dyDescent="0.2">
      <c r="A100" s="347" t="s">
        <v>102</v>
      </c>
      <c r="B100" s="136"/>
      <c r="C100" s="141"/>
      <c r="D100" s="141"/>
      <c r="E100" s="141"/>
      <c r="F100" s="141">
        <v>0</v>
      </c>
      <c r="G100" s="141">
        <v>0</v>
      </c>
      <c r="H100" s="141"/>
      <c r="I100" s="141"/>
      <c r="J100" s="141"/>
      <c r="K100" s="141">
        <v>0</v>
      </c>
      <c r="L100" s="141">
        <v>0</v>
      </c>
      <c r="M100" s="142">
        <v>0</v>
      </c>
      <c r="N100" s="142">
        <v>0</v>
      </c>
      <c r="O100" s="245">
        <v>0</v>
      </c>
      <c r="P100" s="137">
        <v>8</v>
      </c>
      <c r="Q100" s="277">
        <v>7</v>
      </c>
      <c r="R100" s="277">
        <f>5+3</f>
        <v>8</v>
      </c>
      <c r="S100" s="277">
        <f>6+2</f>
        <v>8</v>
      </c>
      <c r="T100" s="277">
        <v>16</v>
      </c>
      <c r="U100" s="471">
        <f>6+2</f>
        <v>8</v>
      </c>
      <c r="V100" s="627">
        <v>8</v>
      </c>
      <c r="W100" s="475">
        <v>1</v>
      </c>
      <c r="X100" s="135">
        <v>5</v>
      </c>
      <c r="Y100" s="135">
        <v>14</v>
      </c>
      <c r="Z100" s="242">
        <v>10</v>
      </c>
      <c r="AA100" s="242">
        <v>10</v>
      </c>
      <c r="AB100" s="242">
        <v>3</v>
      </c>
      <c r="AC100" s="242">
        <v>11</v>
      </c>
      <c r="AD100" s="242">
        <v>0</v>
      </c>
      <c r="AE100" s="242">
        <v>0</v>
      </c>
      <c r="AF100" s="80">
        <v>0</v>
      </c>
      <c r="AG100" s="668" t="str">
        <f t="shared" si="53"/>
        <v xml:space="preserve"> </v>
      </c>
      <c r="AH100" s="189" t="str">
        <f t="shared" si="54"/>
        <v xml:space="preserve"> </v>
      </c>
      <c r="AI100" s="190" t="str">
        <f t="shared" si="55"/>
        <v xml:space="preserve"> </v>
      </c>
      <c r="AJ100" s="105" t="str">
        <f t="shared" si="56"/>
        <v xml:space="preserve">  </v>
      </c>
      <c r="AK100" s="74"/>
      <c r="AL100" s="74"/>
      <c r="AM100" s="79"/>
      <c r="AN100" s="79"/>
      <c r="AO100" s="79"/>
      <c r="AP100" s="79"/>
      <c r="AQ100" s="79"/>
      <c r="AR100" s="79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</row>
    <row r="101" spans="1:179" ht="12" x14ac:dyDescent="0.2">
      <c r="A101" s="348" t="s">
        <v>60</v>
      </c>
      <c r="B101" s="134">
        <v>12</v>
      </c>
      <c r="C101" s="143">
        <v>7</v>
      </c>
      <c r="D101" s="143">
        <v>11</v>
      </c>
      <c r="E101" s="143">
        <v>13</v>
      </c>
      <c r="F101" s="143">
        <v>16</v>
      </c>
      <c r="G101" s="143">
        <v>15</v>
      </c>
      <c r="H101" s="144">
        <v>15</v>
      </c>
      <c r="I101" s="144">
        <v>23</v>
      </c>
      <c r="J101" s="145">
        <v>17</v>
      </c>
      <c r="K101" s="143">
        <v>22</v>
      </c>
      <c r="L101" s="143">
        <v>27</v>
      </c>
      <c r="M101" s="143">
        <v>20</v>
      </c>
      <c r="N101" s="144">
        <v>22</v>
      </c>
      <c r="O101" s="246">
        <v>22</v>
      </c>
      <c r="P101" s="135">
        <v>16</v>
      </c>
      <c r="Q101" s="276">
        <v>19</v>
      </c>
      <c r="R101" s="276">
        <v>18</v>
      </c>
      <c r="S101" s="295">
        <f>19+2</f>
        <v>21</v>
      </c>
      <c r="T101" s="276">
        <v>21</v>
      </c>
      <c r="U101" s="470">
        <f>19+1</f>
        <v>20</v>
      </c>
      <c r="V101" s="628">
        <v>25</v>
      </c>
      <c r="W101" s="474">
        <v>17</v>
      </c>
      <c r="X101" s="135">
        <v>26</v>
      </c>
      <c r="Y101" s="135">
        <v>22</v>
      </c>
      <c r="Z101" s="257">
        <v>14</v>
      </c>
      <c r="AA101" s="257">
        <v>18</v>
      </c>
      <c r="AB101" s="257">
        <v>18</v>
      </c>
      <c r="AC101" s="257">
        <v>25</v>
      </c>
      <c r="AD101" s="257">
        <v>7</v>
      </c>
      <c r="AE101" s="257">
        <v>3</v>
      </c>
      <c r="AF101" s="68">
        <v>5</v>
      </c>
      <c r="AG101" s="668" t="str">
        <f t="shared" si="53"/>
        <v xml:space="preserve"> </v>
      </c>
      <c r="AH101" s="189" t="str">
        <f t="shared" si="54"/>
        <v xml:space="preserve"> </v>
      </c>
      <c r="AI101" s="190" t="str">
        <f t="shared" si="55"/>
        <v xml:space="preserve"> </v>
      </c>
      <c r="AJ101" s="105">
        <f t="shared" si="56"/>
        <v>5</v>
      </c>
      <c r="AK101" s="74"/>
      <c r="AL101" s="74"/>
      <c r="AM101" s="79"/>
      <c r="AN101" s="79"/>
      <c r="AO101" s="79"/>
      <c r="AP101" s="79"/>
      <c r="AQ101" s="79"/>
      <c r="AR101" s="79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</row>
    <row r="102" spans="1:179" ht="12" x14ac:dyDescent="0.2">
      <c r="A102" s="348" t="s">
        <v>61</v>
      </c>
      <c r="B102" s="134">
        <v>6</v>
      </c>
      <c r="C102" s="143">
        <v>6</v>
      </c>
      <c r="D102" s="143">
        <v>2</v>
      </c>
      <c r="E102" s="143">
        <v>0</v>
      </c>
      <c r="F102" s="143">
        <v>6</v>
      </c>
      <c r="G102" s="143">
        <v>7</v>
      </c>
      <c r="H102" s="144">
        <v>8</v>
      </c>
      <c r="I102" s="144">
        <v>4</v>
      </c>
      <c r="J102" s="145">
        <v>6</v>
      </c>
      <c r="K102" s="143">
        <v>3</v>
      </c>
      <c r="L102" s="143">
        <v>6</v>
      </c>
      <c r="M102" s="143">
        <v>7</v>
      </c>
      <c r="N102" s="144">
        <v>10</v>
      </c>
      <c r="O102" s="246">
        <v>7</v>
      </c>
      <c r="P102" s="135">
        <v>9</v>
      </c>
      <c r="Q102" s="276">
        <v>3</v>
      </c>
      <c r="R102" s="276">
        <v>0</v>
      </c>
      <c r="S102" s="295">
        <v>6</v>
      </c>
      <c r="T102" s="276">
        <v>7</v>
      </c>
      <c r="U102" s="470">
        <v>9</v>
      </c>
      <c r="V102" s="628">
        <v>6</v>
      </c>
      <c r="W102" s="474">
        <v>3</v>
      </c>
      <c r="X102" s="135">
        <v>10</v>
      </c>
      <c r="Y102" s="135">
        <v>3</v>
      </c>
      <c r="Z102" s="257">
        <v>5</v>
      </c>
      <c r="AA102" s="257">
        <v>1</v>
      </c>
      <c r="AB102" s="257">
        <v>6</v>
      </c>
      <c r="AC102" s="257">
        <v>3</v>
      </c>
      <c r="AD102" s="257">
        <v>2</v>
      </c>
      <c r="AE102" s="257">
        <v>3</v>
      </c>
      <c r="AF102" s="68">
        <v>3</v>
      </c>
      <c r="AG102" s="668" t="str">
        <f t="shared" si="53"/>
        <v xml:space="preserve"> </v>
      </c>
      <c r="AH102" s="189" t="str">
        <f t="shared" si="54"/>
        <v xml:space="preserve"> </v>
      </c>
      <c r="AI102" s="190" t="str">
        <f t="shared" si="55"/>
        <v xml:space="preserve"> </v>
      </c>
      <c r="AJ102" s="105">
        <f t="shared" si="56"/>
        <v>2.6666666666666665</v>
      </c>
      <c r="AK102" s="74"/>
      <c r="AL102" s="74"/>
      <c r="AM102" s="79"/>
      <c r="AN102" s="79"/>
      <c r="AO102" s="79"/>
      <c r="AP102" s="79"/>
      <c r="AQ102" s="79"/>
      <c r="AR102" s="79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</row>
    <row r="103" spans="1:179" ht="12.75" thickBot="1" x14ac:dyDescent="0.25">
      <c r="A103" s="551" t="s">
        <v>50</v>
      </c>
      <c r="B103" s="552">
        <f>SUM(B99:B102)</f>
        <v>18</v>
      </c>
      <c r="C103" s="552">
        <f t="shared" ref="C103:AF103" si="57">SUM(C99:C102)</f>
        <v>13</v>
      </c>
      <c r="D103" s="552">
        <f t="shared" si="57"/>
        <v>13</v>
      </c>
      <c r="E103" s="552">
        <f t="shared" si="57"/>
        <v>13</v>
      </c>
      <c r="F103" s="552">
        <f t="shared" si="57"/>
        <v>22</v>
      </c>
      <c r="G103" s="552">
        <f t="shared" si="57"/>
        <v>22</v>
      </c>
      <c r="H103" s="552">
        <f t="shared" si="57"/>
        <v>23</v>
      </c>
      <c r="I103" s="552">
        <f t="shared" si="57"/>
        <v>27</v>
      </c>
      <c r="J103" s="552">
        <f t="shared" si="57"/>
        <v>23</v>
      </c>
      <c r="K103" s="552">
        <f t="shared" si="57"/>
        <v>25</v>
      </c>
      <c r="L103" s="552">
        <f t="shared" si="57"/>
        <v>33</v>
      </c>
      <c r="M103" s="552">
        <f t="shared" si="57"/>
        <v>27</v>
      </c>
      <c r="N103" s="552">
        <f t="shared" si="57"/>
        <v>32</v>
      </c>
      <c r="O103" s="553">
        <f t="shared" si="57"/>
        <v>29</v>
      </c>
      <c r="P103" s="553">
        <f t="shared" si="57"/>
        <v>33</v>
      </c>
      <c r="Q103" s="554">
        <f t="shared" si="57"/>
        <v>29</v>
      </c>
      <c r="R103" s="554">
        <f t="shared" si="57"/>
        <v>41</v>
      </c>
      <c r="S103" s="554">
        <f t="shared" si="57"/>
        <v>50</v>
      </c>
      <c r="T103" s="554">
        <f t="shared" si="57"/>
        <v>56</v>
      </c>
      <c r="U103" s="555">
        <f t="shared" si="57"/>
        <v>50</v>
      </c>
      <c r="V103" s="629">
        <f t="shared" si="57"/>
        <v>58</v>
      </c>
      <c r="W103" s="556">
        <f t="shared" si="57"/>
        <v>39</v>
      </c>
      <c r="X103" s="552">
        <f t="shared" si="57"/>
        <v>59</v>
      </c>
      <c r="Y103" s="552">
        <f t="shared" si="57"/>
        <v>57</v>
      </c>
      <c r="Z103" s="552">
        <f t="shared" ref="Z103:AD103" si="58">SUM(Z99:Z102)</f>
        <v>48</v>
      </c>
      <c r="AA103" s="552">
        <f t="shared" si="58"/>
        <v>39</v>
      </c>
      <c r="AB103" s="552">
        <f t="shared" si="58"/>
        <v>48</v>
      </c>
      <c r="AC103" s="552">
        <f t="shared" si="58"/>
        <v>49</v>
      </c>
      <c r="AD103" s="552">
        <f t="shared" si="58"/>
        <v>15</v>
      </c>
      <c r="AE103" s="552">
        <f t="shared" si="57"/>
        <v>14</v>
      </c>
      <c r="AF103" s="553">
        <f t="shared" si="57"/>
        <v>21</v>
      </c>
      <c r="AG103" s="689" t="str">
        <f t="shared" si="53"/>
        <v xml:space="preserve"> </v>
      </c>
      <c r="AH103" s="557" t="str">
        <f t="shared" si="54"/>
        <v xml:space="preserve"> </v>
      </c>
      <c r="AI103" s="557" t="str">
        <f t="shared" si="55"/>
        <v xml:space="preserve"> </v>
      </c>
      <c r="AJ103" s="552">
        <f t="shared" si="56"/>
        <v>16.666666666666668</v>
      </c>
      <c r="AK103" s="81"/>
      <c r="AL103" s="74"/>
      <c r="AM103" s="82"/>
      <c r="AN103" s="82"/>
      <c r="AO103" s="82"/>
      <c r="AP103" s="82"/>
      <c r="AQ103" s="82"/>
      <c r="AR103" s="82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</row>
    <row r="104" spans="1:179" thickTop="1" x14ac:dyDescent="0.2">
      <c r="A104" s="349" t="s">
        <v>51</v>
      </c>
      <c r="B104" s="109"/>
      <c r="C104" s="109"/>
      <c r="D104" s="110"/>
      <c r="E104" s="110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89"/>
      <c r="AJ104" s="90"/>
      <c r="AK104" s="81"/>
      <c r="AL104" s="74"/>
      <c r="AM104" s="82"/>
      <c r="AN104" s="82"/>
      <c r="AO104" s="82"/>
      <c r="AP104" s="82"/>
      <c r="AQ104" s="82"/>
      <c r="AR104" s="82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</row>
    <row r="105" spans="1:179" ht="12" x14ac:dyDescent="0.2">
      <c r="A105" s="306" t="s">
        <v>103</v>
      </c>
      <c r="B105" s="558"/>
      <c r="C105" s="558"/>
      <c r="D105" s="558"/>
      <c r="E105" s="558"/>
      <c r="F105" s="558"/>
      <c r="G105" s="559"/>
      <c r="H105" s="560"/>
      <c r="I105" s="560">
        <v>0</v>
      </c>
      <c r="J105" s="561"/>
      <c r="K105" s="561"/>
      <c r="L105" s="561">
        <v>0</v>
      </c>
      <c r="M105" s="561"/>
      <c r="N105" s="560"/>
      <c r="O105" s="562">
        <v>0</v>
      </c>
      <c r="P105" s="562">
        <v>0</v>
      </c>
      <c r="Q105" s="278">
        <v>0</v>
      </c>
      <c r="R105" s="278">
        <v>0</v>
      </c>
      <c r="S105" s="288">
        <v>2</v>
      </c>
      <c r="T105" s="278">
        <v>2</v>
      </c>
      <c r="U105" s="472">
        <v>6</v>
      </c>
      <c r="V105" s="620">
        <v>4</v>
      </c>
      <c r="W105" s="154">
        <v>5</v>
      </c>
      <c r="X105" s="560">
        <v>2</v>
      </c>
      <c r="Y105" s="560">
        <v>4</v>
      </c>
      <c r="Z105" s="563">
        <v>2</v>
      </c>
      <c r="AA105" s="563">
        <v>6</v>
      </c>
      <c r="AB105" s="563">
        <v>3</v>
      </c>
      <c r="AC105" s="563">
        <v>3</v>
      </c>
      <c r="AD105" s="563">
        <v>3</v>
      </c>
      <c r="AE105" s="563">
        <v>4</v>
      </c>
      <c r="AF105" s="658">
        <v>4</v>
      </c>
      <c r="AG105" s="680" t="str">
        <f t="shared" ref="AG105:AG108" si="59">IF(AF105=0," ",IF(AJ105&gt;20,(AF105-AE105)/AE105," "))</f>
        <v xml:space="preserve"> </v>
      </c>
      <c r="AH105" s="564" t="str">
        <f t="shared" ref="AH105:AH108" si="60">IF(AF105=0," ",IF(AJ105&gt;20,(AF105-AA105)/AA105," "))</f>
        <v xml:space="preserve"> </v>
      </c>
      <c r="AI105" s="565" t="str">
        <f t="shared" ref="AI105:AI108" si="61">IF(AF105=0," ",(IF(AJ105&gt;20,(AF105-V105)/V105," ")))</f>
        <v xml:space="preserve"> </v>
      </c>
      <c r="AJ105" s="566">
        <f t="shared" ref="AJ105:AJ108" si="62">IF(AD105&gt;0,AVERAGE(AD105:AF105),"  ")</f>
        <v>3.6666666666666665</v>
      </c>
      <c r="AK105" s="74"/>
      <c r="AL105" s="74"/>
      <c r="AM105" s="79"/>
      <c r="AN105" s="79"/>
      <c r="AO105" s="79"/>
      <c r="AP105" s="79"/>
      <c r="AQ105" s="79"/>
      <c r="AR105" s="79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</row>
    <row r="106" spans="1:179" ht="12" x14ac:dyDescent="0.2">
      <c r="A106" s="306" t="s">
        <v>62</v>
      </c>
      <c r="B106" s="62"/>
      <c r="C106" s="103"/>
      <c r="D106" s="62"/>
      <c r="E106" s="62"/>
      <c r="F106" s="62">
        <v>0</v>
      </c>
      <c r="G106" s="62"/>
      <c r="H106" s="5"/>
      <c r="I106" s="5"/>
      <c r="J106" s="63"/>
      <c r="K106" s="62"/>
      <c r="L106" s="62">
        <v>0</v>
      </c>
      <c r="M106" s="62">
        <v>0</v>
      </c>
      <c r="N106" s="5">
        <v>0</v>
      </c>
      <c r="O106" s="220">
        <v>0</v>
      </c>
      <c r="P106" s="220">
        <v>7</v>
      </c>
      <c r="Q106" s="260">
        <v>3</v>
      </c>
      <c r="R106" s="260">
        <v>6</v>
      </c>
      <c r="S106" s="289">
        <v>9</v>
      </c>
      <c r="T106" s="260">
        <v>12</v>
      </c>
      <c r="U106" s="451">
        <v>8</v>
      </c>
      <c r="V106" s="594">
        <v>9</v>
      </c>
      <c r="W106" s="230">
        <v>3</v>
      </c>
      <c r="X106" s="5">
        <v>5</v>
      </c>
      <c r="Y106" s="5">
        <v>9</v>
      </c>
      <c r="Z106" s="63">
        <v>12</v>
      </c>
      <c r="AA106" s="63">
        <v>8</v>
      </c>
      <c r="AB106" s="63">
        <v>3</v>
      </c>
      <c r="AC106" s="63">
        <v>9</v>
      </c>
      <c r="AD106" s="63">
        <v>11</v>
      </c>
      <c r="AE106" s="63">
        <v>4</v>
      </c>
      <c r="AF106" s="68">
        <v>8</v>
      </c>
      <c r="AG106" s="685" t="str">
        <f t="shared" si="59"/>
        <v xml:space="preserve"> </v>
      </c>
      <c r="AH106" s="158" t="str">
        <f t="shared" si="60"/>
        <v xml:space="preserve"> </v>
      </c>
      <c r="AI106" s="159" t="str">
        <f t="shared" si="61"/>
        <v xml:space="preserve"> </v>
      </c>
      <c r="AJ106" s="105">
        <f t="shared" si="62"/>
        <v>7.666666666666667</v>
      </c>
      <c r="AK106" s="74"/>
      <c r="AL106" s="74"/>
      <c r="AM106" s="79"/>
      <c r="AN106" s="79"/>
      <c r="AO106" s="79"/>
      <c r="AP106" s="79"/>
      <c r="AQ106" s="79"/>
      <c r="AR106" s="79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</row>
    <row r="107" spans="1:179" ht="12" x14ac:dyDescent="0.2">
      <c r="A107" s="400" t="s">
        <v>63</v>
      </c>
      <c r="B107" s="431">
        <v>0</v>
      </c>
      <c r="C107" s="65">
        <v>0</v>
      </c>
      <c r="D107" s="431"/>
      <c r="E107" s="431">
        <v>0</v>
      </c>
      <c r="F107" s="431">
        <v>0</v>
      </c>
      <c r="G107" s="401">
        <v>0</v>
      </c>
      <c r="H107" s="6">
        <v>0</v>
      </c>
      <c r="I107" s="6">
        <v>0</v>
      </c>
      <c r="J107" s="401">
        <v>1</v>
      </c>
      <c r="K107" s="401">
        <v>3</v>
      </c>
      <c r="L107" s="401">
        <v>7</v>
      </c>
      <c r="M107" s="401">
        <v>7</v>
      </c>
      <c r="N107" s="6">
        <v>4</v>
      </c>
      <c r="O107" s="221">
        <v>4</v>
      </c>
      <c r="P107" s="221">
        <v>9</v>
      </c>
      <c r="Q107" s="280">
        <v>4</v>
      </c>
      <c r="R107" s="280">
        <v>3</v>
      </c>
      <c r="S107" s="290">
        <v>6</v>
      </c>
      <c r="T107" s="280">
        <v>3</v>
      </c>
      <c r="U107" s="476">
        <v>4</v>
      </c>
      <c r="V107" s="624">
        <v>4</v>
      </c>
      <c r="W107" s="287">
        <v>2</v>
      </c>
      <c r="X107" s="6">
        <v>5</v>
      </c>
      <c r="Y107" s="6">
        <v>1</v>
      </c>
      <c r="Z107" s="7">
        <v>1</v>
      </c>
      <c r="AA107" s="7">
        <v>0</v>
      </c>
      <c r="AB107" s="7">
        <v>6</v>
      </c>
      <c r="AC107" s="7">
        <v>3</v>
      </c>
      <c r="AD107" s="7">
        <v>4</v>
      </c>
      <c r="AE107" s="7">
        <v>1</v>
      </c>
      <c r="AF107" s="659">
        <v>2</v>
      </c>
      <c r="AG107" s="683" t="str">
        <f t="shared" si="59"/>
        <v xml:space="preserve"> </v>
      </c>
      <c r="AH107" s="162" t="str">
        <f t="shared" si="60"/>
        <v xml:space="preserve"> </v>
      </c>
      <c r="AI107" s="163" t="str">
        <f t="shared" si="61"/>
        <v xml:space="preserve"> </v>
      </c>
      <c r="AJ107" s="204">
        <f t="shared" si="62"/>
        <v>2.3333333333333335</v>
      </c>
      <c r="AK107" s="74"/>
      <c r="AL107" s="74"/>
      <c r="AM107" s="79"/>
      <c r="AN107" s="79"/>
      <c r="AO107" s="79"/>
      <c r="AP107" s="79"/>
      <c r="AQ107" s="79"/>
      <c r="AR107" s="79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</row>
    <row r="108" spans="1:179" ht="12.75" thickBot="1" x14ac:dyDescent="0.25">
      <c r="A108" s="545" t="s">
        <v>52</v>
      </c>
      <c r="B108" s="546">
        <f>+B105+B106+B107</f>
        <v>0</v>
      </c>
      <c r="C108" s="546">
        <f t="shared" ref="C108:AF108" si="63">+C105+C106+C107</f>
        <v>0</v>
      </c>
      <c r="D108" s="546">
        <f t="shared" si="63"/>
        <v>0</v>
      </c>
      <c r="E108" s="546">
        <f t="shared" si="63"/>
        <v>0</v>
      </c>
      <c r="F108" s="546">
        <f t="shared" si="63"/>
        <v>0</v>
      </c>
      <c r="G108" s="546">
        <f t="shared" si="63"/>
        <v>0</v>
      </c>
      <c r="H108" s="546">
        <f t="shared" si="63"/>
        <v>0</v>
      </c>
      <c r="I108" s="546">
        <f t="shared" si="63"/>
        <v>0</v>
      </c>
      <c r="J108" s="546">
        <f t="shared" si="63"/>
        <v>1</v>
      </c>
      <c r="K108" s="546">
        <f t="shared" si="63"/>
        <v>3</v>
      </c>
      <c r="L108" s="546">
        <f t="shared" si="63"/>
        <v>7</v>
      </c>
      <c r="M108" s="546">
        <f t="shared" si="63"/>
        <v>7</v>
      </c>
      <c r="N108" s="546">
        <f t="shared" si="63"/>
        <v>4</v>
      </c>
      <c r="O108" s="547">
        <f t="shared" si="63"/>
        <v>4</v>
      </c>
      <c r="P108" s="547">
        <f t="shared" si="63"/>
        <v>16</v>
      </c>
      <c r="Q108" s="548">
        <f t="shared" si="63"/>
        <v>7</v>
      </c>
      <c r="R108" s="548">
        <f t="shared" si="63"/>
        <v>9</v>
      </c>
      <c r="S108" s="548">
        <f t="shared" si="63"/>
        <v>17</v>
      </c>
      <c r="T108" s="548">
        <f t="shared" si="63"/>
        <v>17</v>
      </c>
      <c r="U108" s="549">
        <f t="shared" si="63"/>
        <v>18</v>
      </c>
      <c r="V108" s="630">
        <f t="shared" si="63"/>
        <v>17</v>
      </c>
      <c r="W108" s="550">
        <f t="shared" si="63"/>
        <v>10</v>
      </c>
      <c r="X108" s="546">
        <f t="shared" si="63"/>
        <v>12</v>
      </c>
      <c r="Y108" s="546">
        <f t="shared" si="63"/>
        <v>14</v>
      </c>
      <c r="Z108" s="546">
        <f t="shared" ref="Z108:AD108" si="64">+Z105+Z106+Z107</f>
        <v>15</v>
      </c>
      <c r="AA108" s="546">
        <f t="shared" si="64"/>
        <v>14</v>
      </c>
      <c r="AB108" s="546">
        <f t="shared" si="64"/>
        <v>12</v>
      </c>
      <c r="AC108" s="546">
        <f t="shared" si="64"/>
        <v>15</v>
      </c>
      <c r="AD108" s="546">
        <f t="shared" si="64"/>
        <v>18</v>
      </c>
      <c r="AE108" s="546">
        <f t="shared" si="63"/>
        <v>9</v>
      </c>
      <c r="AF108" s="547">
        <f t="shared" si="63"/>
        <v>14</v>
      </c>
      <c r="AG108" s="690" t="str">
        <f t="shared" si="59"/>
        <v xml:space="preserve"> </v>
      </c>
      <c r="AH108" s="546" t="str">
        <f t="shared" si="60"/>
        <v xml:space="preserve"> </v>
      </c>
      <c r="AI108" s="546" t="str">
        <f t="shared" si="61"/>
        <v xml:space="preserve"> </v>
      </c>
      <c r="AJ108" s="546">
        <f t="shared" si="62"/>
        <v>13.666666666666666</v>
      </c>
      <c r="AK108" s="74"/>
      <c r="AL108" s="74"/>
      <c r="AM108" s="79"/>
      <c r="AN108" s="79"/>
      <c r="AO108" s="79"/>
      <c r="AP108" s="79"/>
      <c r="AQ108" s="79"/>
      <c r="AR108" s="79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</row>
    <row r="109" spans="1:179" s="418" customFormat="1" ht="13.5" thickTop="1" thickBot="1" x14ac:dyDescent="0.25">
      <c r="A109" s="325" t="s">
        <v>53</v>
      </c>
      <c r="B109" s="412"/>
      <c r="C109" s="412"/>
      <c r="D109" s="413"/>
      <c r="E109" s="413"/>
      <c r="F109" s="412"/>
      <c r="G109" s="412"/>
      <c r="H109" s="412"/>
      <c r="I109" s="412"/>
      <c r="J109" s="412"/>
      <c r="K109" s="412"/>
      <c r="L109" s="412"/>
      <c r="M109" s="412"/>
      <c r="N109" s="412"/>
      <c r="O109" s="412"/>
      <c r="P109" s="414"/>
      <c r="Q109" s="414"/>
      <c r="R109" s="414"/>
      <c r="S109" s="414"/>
      <c r="T109" s="414"/>
      <c r="U109" s="414"/>
      <c r="V109" s="414"/>
      <c r="W109" s="414"/>
      <c r="X109" s="414"/>
      <c r="Y109" s="414"/>
      <c r="Z109" s="414"/>
      <c r="AA109" s="414"/>
      <c r="AB109" s="414"/>
      <c r="AC109" s="414"/>
      <c r="AD109" s="26"/>
      <c r="AE109" s="26"/>
      <c r="AF109" s="26"/>
      <c r="AG109" s="27"/>
      <c r="AH109" s="27"/>
      <c r="AI109" s="27"/>
      <c r="AJ109" s="415"/>
      <c r="AK109" s="416"/>
      <c r="AL109" s="416"/>
      <c r="AM109" s="417"/>
      <c r="AN109" s="417"/>
      <c r="AO109" s="417"/>
      <c r="AP109" s="417"/>
      <c r="AQ109" s="417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</row>
    <row r="110" spans="1:179" s="418" customFormat="1" ht="13.5" thickTop="1" thickBot="1" x14ac:dyDescent="0.25">
      <c r="A110" s="306" t="s">
        <v>104</v>
      </c>
      <c r="B110" s="419"/>
      <c r="C110" s="419"/>
      <c r="D110" s="420"/>
      <c r="E110" s="420"/>
      <c r="F110" s="419"/>
      <c r="G110" s="419"/>
      <c r="H110" s="419"/>
      <c r="I110" s="419"/>
      <c r="J110" s="419"/>
      <c r="K110" s="419"/>
      <c r="L110" s="419"/>
      <c r="M110" s="419"/>
      <c r="N110" s="419"/>
      <c r="O110" s="419"/>
      <c r="P110" s="421"/>
      <c r="Q110" s="421"/>
      <c r="R110" s="421"/>
      <c r="S110" s="421"/>
      <c r="T110" s="421"/>
      <c r="U110" s="464"/>
      <c r="V110" s="631"/>
      <c r="W110" s="518"/>
      <c r="X110" s="518"/>
      <c r="Y110" s="517"/>
      <c r="Z110" s="437">
        <v>10</v>
      </c>
      <c r="AA110" s="437">
        <v>17</v>
      </c>
      <c r="AB110" s="437">
        <v>4</v>
      </c>
      <c r="AC110" s="437">
        <v>12</v>
      </c>
      <c r="AD110" s="437">
        <v>16</v>
      </c>
      <c r="AE110" s="437">
        <v>13</v>
      </c>
      <c r="AF110" s="655">
        <v>10</v>
      </c>
      <c r="AG110" s="674" t="str">
        <f t="shared" ref="AG110:AG112" si="65">IF(AF110=0," ",IF(AJ110&gt;20,(AF110-AE110)/AE110," "))</f>
        <v xml:space="preserve"> </v>
      </c>
      <c r="AH110" s="284" t="str">
        <f t="shared" ref="AH110:AH112" si="66">IF(AF110=0," ",IF(AJ110&gt;20,(AF110-AA110)/AA110," "))</f>
        <v xml:space="preserve"> </v>
      </c>
      <c r="AI110" s="285" t="str">
        <f t="shared" ref="AI110:AI112" si="67">IF(AF110=0," ",(IF(AJ110&gt;20,(AF110-V110)/V110," ")))</f>
        <v xml:space="preserve"> </v>
      </c>
      <c r="AJ110" s="205">
        <f t="shared" ref="AJ110:AJ112" si="68">IF(AD110&gt;0,AVERAGE(AD110:AF110),"  ")</f>
        <v>13</v>
      </c>
      <c r="AK110" s="416"/>
      <c r="AL110" s="416"/>
      <c r="AM110" s="417"/>
      <c r="AN110" s="417"/>
      <c r="AO110" s="417"/>
      <c r="AP110" s="417"/>
      <c r="AQ110" s="417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</row>
    <row r="111" spans="1:179" s="418" customFormat="1" ht="12.75" thickTop="1" x14ac:dyDescent="0.2">
      <c r="A111" s="306" t="s">
        <v>105</v>
      </c>
      <c r="B111" s="419"/>
      <c r="C111" s="419"/>
      <c r="D111" s="420"/>
      <c r="E111" s="420"/>
      <c r="F111" s="419"/>
      <c r="G111" s="419"/>
      <c r="H111" s="419"/>
      <c r="I111" s="419"/>
      <c r="J111" s="419"/>
      <c r="K111" s="419"/>
      <c r="L111" s="419"/>
      <c r="M111" s="419"/>
      <c r="N111" s="419"/>
      <c r="O111" s="419"/>
      <c r="P111" s="421"/>
      <c r="Q111" s="421"/>
      <c r="R111" s="421"/>
      <c r="S111" s="421"/>
      <c r="T111" s="421"/>
      <c r="U111" s="567">
        <v>27</v>
      </c>
      <c r="V111" s="632">
        <v>30</v>
      </c>
      <c r="W111" s="568">
        <v>27</v>
      </c>
      <c r="X111" s="569">
        <v>40</v>
      </c>
      <c r="Y111" s="569">
        <v>36</v>
      </c>
      <c r="Z111" s="4">
        <v>28</v>
      </c>
      <c r="AA111" s="4">
        <v>14</v>
      </c>
      <c r="AB111" s="4">
        <v>28</v>
      </c>
      <c r="AC111" s="4">
        <v>20</v>
      </c>
      <c r="AD111" s="4">
        <v>19</v>
      </c>
      <c r="AE111" s="4">
        <v>22</v>
      </c>
      <c r="AF111" s="660">
        <v>27</v>
      </c>
      <c r="AG111" s="685">
        <f t="shared" si="65"/>
        <v>0.22727272727272727</v>
      </c>
      <c r="AH111" s="158">
        <f t="shared" si="66"/>
        <v>0.9285714285714286</v>
      </c>
      <c r="AI111" s="159"/>
      <c r="AJ111" s="105">
        <f t="shared" si="68"/>
        <v>22.666666666666668</v>
      </c>
      <c r="AK111" s="416"/>
      <c r="AL111" s="416"/>
      <c r="AM111" s="417"/>
      <c r="AN111" s="417"/>
      <c r="AO111" s="417"/>
      <c r="AP111" s="417"/>
      <c r="AQ111" s="417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</row>
    <row r="112" spans="1:179" ht="12.75" thickBot="1" x14ac:dyDescent="0.25">
      <c r="A112" s="577" t="s">
        <v>64</v>
      </c>
      <c r="B112" s="578">
        <v>30</v>
      </c>
      <c r="C112" s="578">
        <v>32</v>
      </c>
      <c r="D112" s="579">
        <v>35</v>
      </c>
      <c r="E112" s="579">
        <v>37</v>
      </c>
      <c r="F112" s="578">
        <v>38</v>
      </c>
      <c r="G112" s="578">
        <v>28</v>
      </c>
      <c r="H112" s="578">
        <v>35</v>
      </c>
      <c r="I112" s="578">
        <v>39</v>
      </c>
      <c r="J112" s="578">
        <v>46</v>
      </c>
      <c r="K112" s="578">
        <v>51</v>
      </c>
      <c r="L112" s="578">
        <v>37</v>
      </c>
      <c r="M112" s="578">
        <v>39</v>
      </c>
      <c r="N112" s="578">
        <v>38</v>
      </c>
      <c r="O112" s="580">
        <v>49</v>
      </c>
      <c r="P112" s="580">
        <v>41</v>
      </c>
      <c r="Q112" s="581">
        <v>32</v>
      </c>
      <c r="R112" s="581">
        <v>37</v>
      </c>
      <c r="S112" s="581">
        <v>21</v>
      </c>
      <c r="T112" s="581">
        <v>26</v>
      </c>
      <c r="U112" s="582">
        <f>U111</f>
        <v>27</v>
      </c>
      <c r="V112" s="633">
        <v>30</v>
      </c>
      <c r="W112" s="583">
        <v>27</v>
      </c>
      <c r="X112" s="578">
        <v>40</v>
      </c>
      <c r="Y112" s="578">
        <v>36</v>
      </c>
      <c r="Z112" s="584">
        <f>Z110+Z111</f>
        <v>38</v>
      </c>
      <c r="AA112" s="584">
        <f t="shared" ref="AA112:AD112" si="69">AA111+AA110</f>
        <v>31</v>
      </c>
      <c r="AB112" s="584">
        <f t="shared" si="69"/>
        <v>32</v>
      </c>
      <c r="AC112" s="584">
        <f>AC111+AC110</f>
        <v>32</v>
      </c>
      <c r="AD112" s="584">
        <f t="shared" si="69"/>
        <v>35</v>
      </c>
      <c r="AE112" s="584">
        <f>AE110+AE111</f>
        <v>35</v>
      </c>
      <c r="AF112" s="661">
        <f>AF110+AF111</f>
        <v>37</v>
      </c>
      <c r="AG112" s="691">
        <f t="shared" si="65"/>
        <v>5.7142857142857141E-2</v>
      </c>
      <c r="AH112" s="585">
        <f t="shared" si="66"/>
        <v>0.19354838709677419</v>
      </c>
      <c r="AI112" s="585">
        <f t="shared" si="67"/>
        <v>0.23333333333333334</v>
      </c>
      <c r="AJ112" s="584">
        <f t="shared" si="68"/>
        <v>35.666666666666664</v>
      </c>
      <c r="AK112" s="74"/>
      <c r="AL112" s="74"/>
      <c r="AM112" s="79"/>
      <c r="AN112" s="79"/>
      <c r="AO112" s="79"/>
      <c r="AP112" s="79"/>
      <c r="AQ112" s="79"/>
      <c r="AR112" s="79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</row>
    <row r="113" spans="1:179" ht="12.75" thickTop="1" x14ac:dyDescent="0.2">
      <c r="A113" s="350" t="s">
        <v>55</v>
      </c>
      <c r="B113" s="116"/>
      <c r="C113" s="116"/>
      <c r="D113" s="117"/>
      <c r="E113" s="117"/>
      <c r="F113" s="116"/>
      <c r="G113" s="118"/>
      <c r="H113" s="118"/>
      <c r="I113" s="118"/>
      <c r="J113" s="116"/>
      <c r="K113" s="116"/>
      <c r="L113" s="116"/>
      <c r="M113" s="116"/>
      <c r="N113" s="116"/>
      <c r="O113" s="116"/>
      <c r="P113" s="119"/>
      <c r="Q113" s="119"/>
      <c r="R113" s="119"/>
      <c r="S113" s="119"/>
      <c r="T113" s="119"/>
      <c r="U113" s="119"/>
      <c r="V113" s="519"/>
      <c r="W113" s="519"/>
      <c r="X113" s="519"/>
      <c r="Y113" s="519"/>
      <c r="Z113" s="120"/>
      <c r="AA113" s="120"/>
      <c r="AB113" s="120"/>
      <c r="AC113" s="120"/>
      <c r="AD113" s="120"/>
      <c r="AE113" s="120"/>
      <c r="AF113" s="120"/>
      <c r="AG113" s="212"/>
      <c r="AH113" s="212"/>
      <c r="AI113" s="213"/>
      <c r="AJ113" s="214"/>
      <c r="AK113" s="74"/>
      <c r="AL113" s="74"/>
      <c r="AM113" s="79"/>
      <c r="AN113" s="79"/>
      <c r="AO113" s="79"/>
      <c r="AP113" s="79"/>
      <c r="AQ113" s="79"/>
      <c r="AR113" s="79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</row>
    <row r="114" spans="1:179" ht="12" x14ac:dyDescent="0.2">
      <c r="A114" s="586" t="s">
        <v>136</v>
      </c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63"/>
      <c r="N114" s="563"/>
      <c r="O114" s="588"/>
      <c r="P114" s="588"/>
      <c r="Q114" s="278"/>
      <c r="R114" s="278">
        <v>0</v>
      </c>
      <c r="S114" s="278"/>
      <c r="T114" s="278">
        <v>0</v>
      </c>
      <c r="U114" s="464">
        <v>0</v>
      </c>
      <c r="V114" s="634"/>
      <c r="W114" s="514"/>
      <c r="X114" s="514"/>
      <c r="Y114" s="5">
        <v>6</v>
      </c>
      <c r="Z114" s="563">
        <v>0</v>
      </c>
      <c r="AA114" s="563">
        <v>6</v>
      </c>
      <c r="AB114" s="563">
        <v>4</v>
      </c>
      <c r="AC114" s="563">
        <v>4</v>
      </c>
      <c r="AD114" s="563">
        <v>5</v>
      </c>
      <c r="AE114" s="563">
        <v>9</v>
      </c>
      <c r="AF114" s="653">
        <v>5</v>
      </c>
      <c r="AG114" s="674" t="str">
        <f t="shared" ref="AG114:AG122" si="70">IF(AF114=0," ",IF(AJ114&gt;20,(AF114-AE114)/AE114," "))</f>
        <v xml:space="preserve"> </v>
      </c>
      <c r="AH114" s="589" t="str">
        <f t="shared" ref="AH114:AH122" si="71">IF(AF114=0," ",IF(AJ114&gt;20,(AF114-AA114)/AA114," "))</f>
        <v xml:space="preserve"> </v>
      </c>
      <c r="AI114" s="590" t="str">
        <f t="shared" ref="AI114:AI122" si="72">IF(AF114=0," ",(IF(AJ114&gt;20,(AF114-V114)/V114," ")))</f>
        <v xml:space="preserve"> </v>
      </c>
      <c r="AJ114" s="566">
        <f t="shared" ref="AJ114:AJ122" si="73">IF(AD114&gt;0,AVERAGE(AD114:AF114),"  ")</f>
        <v>6.333333333333333</v>
      </c>
    </row>
    <row r="115" spans="1:179" ht="12" x14ac:dyDescent="0.2">
      <c r="A115" s="317" t="s">
        <v>120</v>
      </c>
      <c r="B115" s="62">
        <v>80</v>
      </c>
      <c r="C115" s="103">
        <v>87</v>
      </c>
      <c r="D115" s="62">
        <v>88</v>
      </c>
      <c r="E115" s="62">
        <v>89</v>
      </c>
      <c r="F115" s="62">
        <v>74</v>
      </c>
      <c r="G115" s="62">
        <v>61</v>
      </c>
      <c r="H115" s="5">
        <v>51</v>
      </c>
      <c r="I115" s="5">
        <v>49</v>
      </c>
      <c r="J115" s="63">
        <v>70</v>
      </c>
      <c r="K115" s="62">
        <v>52</v>
      </c>
      <c r="L115" s="62">
        <v>51</v>
      </c>
      <c r="M115" s="62">
        <v>48</v>
      </c>
      <c r="N115" s="5">
        <v>38</v>
      </c>
      <c r="O115" s="220">
        <v>47</v>
      </c>
      <c r="P115" s="220">
        <v>46</v>
      </c>
      <c r="Q115" s="260">
        <v>35</v>
      </c>
      <c r="R115" s="260">
        <v>26</v>
      </c>
      <c r="S115" s="289">
        <v>36</v>
      </c>
      <c r="T115" s="260">
        <v>33</v>
      </c>
      <c r="U115" s="451">
        <v>32</v>
      </c>
      <c r="V115" s="594">
        <v>38</v>
      </c>
      <c r="W115" s="230">
        <v>28</v>
      </c>
      <c r="X115" s="5">
        <v>27</v>
      </c>
      <c r="Y115" s="5">
        <v>36</v>
      </c>
      <c r="Z115" s="63">
        <v>27</v>
      </c>
      <c r="AA115" s="63">
        <v>29</v>
      </c>
      <c r="AB115" s="63">
        <v>25</v>
      </c>
      <c r="AC115" s="63">
        <v>20</v>
      </c>
      <c r="AD115" s="63">
        <v>18</v>
      </c>
      <c r="AE115" s="63">
        <v>24</v>
      </c>
      <c r="AF115" s="68">
        <v>17</v>
      </c>
      <c r="AG115" s="668" t="str">
        <f t="shared" si="70"/>
        <v xml:space="preserve"> </v>
      </c>
      <c r="AH115" s="189" t="str">
        <f t="shared" si="71"/>
        <v xml:space="preserve"> </v>
      </c>
      <c r="AI115" s="190" t="str">
        <f t="shared" si="72"/>
        <v xml:space="preserve"> </v>
      </c>
      <c r="AJ115" s="105">
        <f t="shared" si="73"/>
        <v>19.666666666666668</v>
      </c>
    </row>
    <row r="116" spans="1:179" ht="12" x14ac:dyDescent="0.2">
      <c r="A116" s="352" t="s">
        <v>30</v>
      </c>
      <c r="B116" s="115"/>
      <c r="C116" s="62"/>
      <c r="D116" s="115"/>
      <c r="E116" s="115"/>
      <c r="F116" s="115"/>
      <c r="G116" s="102"/>
      <c r="H116" s="5"/>
      <c r="I116" s="5"/>
      <c r="J116" s="102"/>
      <c r="K116" s="102">
        <v>1</v>
      </c>
      <c r="L116" s="102">
        <v>0</v>
      </c>
      <c r="M116" s="102">
        <v>3</v>
      </c>
      <c r="N116" s="5">
        <v>7</v>
      </c>
      <c r="O116" s="220">
        <v>9</v>
      </c>
      <c r="P116" s="220">
        <v>5</v>
      </c>
      <c r="Q116" s="279">
        <v>12</v>
      </c>
      <c r="R116" s="279">
        <v>7</v>
      </c>
      <c r="S116" s="289">
        <v>11</v>
      </c>
      <c r="T116" s="279">
        <v>12</v>
      </c>
      <c r="U116" s="473">
        <v>7</v>
      </c>
      <c r="V116" s="635">
        <v>4</v>
      </c>
      <c r="W116" s="286">
        <v>3</v>
      </c>
      <c r="X116" s="5">
        <v>8</v>
      </c>
      <c r="Y116" s="5">
        <v>8</v>
      </c>
      <c r="Z116" s="4">
        <v>4</v>
      </c>
      <c r="AA116" s="4">
        <v>7</v>
      </c>
      <c r="AB116" s="4">
        <v>6</v>
      </c>
      <c r="AC116" s="4">
        <v>5</v>
      </c>
      <c r="AD116" s="4">
        <v>4</v>
      </c>
      <c r="AE116" s="4">
        <v>8</v>
      </c>
      <c r="AF116" s="662">
        <v>3</v>
      </c>
      <c r="AG116" s="668" t="str">
        <f t="shared" si="70"/>
        <v xml:space="preserve"> </v>
      </c>
      <c r="AH116" s="189" t="str">
        <f t="shared" si="71"/>
        <v xml:space="preserve"> </v>
      </c>
      <c r="AI116" s="190" t="str">
        <f t="shared" si="72"/>
        <v xml:space="preserve"> </v>
      </c>
      <c r="AJ116" s="105">
        <f t="shared" si="73"/>
        <v>5</v>
      </c>
    </row>
    <row r="117" spans="1:179" ht="12" x14ac:dyDescent="0.2">
      <c r="A117" s="351" t="s">
        <v>65</v>
      </c>
      <c r="B117" s="431"/>
      <c r="C117" s="431"/>
      <c r="D117" s="431"/>
      <c r="E117" s="431">
        <v>6</v>
      </c>
      <c r="F117" s="431">
        <v>21</v>
      </c>
      <c r="G117" s="401">
        <v>9</v>
      </c>
      <c r="H117" s="6">
        <v>11</v>
      </c>
      <c r="I117" s="6">
        <v>13</v>
      </c>
      <c r="J117" s="401">
        <v>13</v>
      </c>
      <c r="K117" s="401">
        <v>15</v>
      </c>
      <c r="L117" s="401">
        <v>11</v>
      </c>
      <c r="M117" s="401">
        <v>15</v>
      </c>
      <c r="N117" s="6">
        <v>2</v>
      </c>
      <c r="O117" s="221">
        <v>12</v>
      </c>
      <c r="P117" s="221">
        <v>12</v>
      </c>
      <c r="Q117" s="280">
        <v>13</v>
      </c>
      <c r="R117" s="280">
        <v>12</v>
      </c>
      <c r="S117" s="290">
        <v>13</v>
      </c>
      <c r="T117" s="280">
        <v>17</v>
      </c>
      <c r="U117" s="476">
        <v>9</v>
      </c>
      <c r="V117" s="624">
        <v>14</v>
      </c>
      <c r="W117" s="287">
        <v>6</v>
      </c>
      <c r="X117" s="6">
        <v>7</v>
      </c>
      <c r="Y117" s="6">
        <v>6</v>
      </c>
      <c r="Z117" s="7">
        <v>5</v>
      </c>
      <c r="AA117" s="7">
        <v>4</v>
      </c>
      <c r="AB117" s="7">
        <v>4</v>
      </c>
      <c r="AC117" s="7">
        <v>1</v>
      </c>
      <c r="AD117" s="7">
        <v>6</v>
      </c>
      <c r="AE117" s="7">
        <v>2</v>
      </c>
      <c r="AF117" s="659">
        <v>6</v>
      </c>
      <c r="AG117" s="670" t="str">
        <f t="shared" si="70"/>
        <v xml:space="preserve"> </v>
      </c>
      <c r="AH117" s="191" t="str">
        <f t="shared" si="71"/>
        <v xml:space="preserve"> </v>
      </c>
      <c r="AI117" s="192" t="str">
        <f t="shared" si="72"/>
        <v xml:space="preserve"> </v>
      </c>
      <c r="AJ117" s="204">
        <f t="shared" si="73"/>
        <v>4.666666666666667</v>
      </c>
    </row>
    <row r="118" spans="1:179" ht="12" x14ac:dyDescent="0.2">
      <c r="A118" s="352" t="s">
        <v>71</v>
      </c>
      <c r="B118" s="102"/>
      <c r="C118" s="132">
        <v>0</v>
      </c>
      <c r="D118" s="102">
        <v>8</v>
      </c>
      <c r="E118" s="102">
        <v>11</v>
      </c>
      <c r="F118" s="102">
        <v>12</v>
      </c>
      <c r="G118" s="102">
        <v>9</v>
      </c>
      <c r="H118" s="5">
        <v>8</v>
      </c>
      <c r="I118" s="5">
        <v>15</v>
      </c>
      <c r="J118" s="102">
        <v>11</v>
      </c>
      <c r="K118" s="102">
        <v>16</v>
      </c>
      <c r="L118" s="102">
        <v>9</v>
      </c>
      <c r="M118" s="102">
        <v>6</v>
      </c>
      <c r="N118" s="5">
        <v>12</v>
      </c>
      <c r="O118" s="220">
        <v>14</v>
      </c>
      <c r="P118" s="220">
        <v>7</v>
      </c>
      <c r="Q118" s="279">
        <v>6</v>
      </c>
      <c r="R118" s="279">
        <v>11</v>
      </c>
      <c r="S118" s="289">
        <v>11</v>
      </c>
      <c r="T118" s="279">
        <v>21</v>
      </c>
      <c r="U118" s="473">
        <v>14</v>
      </c>
      <c r="V118" s="635">
        <v>14</v>
      </c>
      <c r="W118" s="286">
        <v>10</v>
      </c>
      <c r="X118" s="5">
        <v>13</v>
      </c>
      <c r="Y118" s="5">
        <v>11</v>
      </c>
      <c r="Z118" s="4">
        <v>8</v>
      </c>
      <c r="AA118" s="4">
        <v>13</v>
      </c>
      <c r="AB118" s="4">
        <v>17</v>
      </c>
      <c r="AC118" s="4">
        <v>5</v>
      </c>
      <c r="AD118" s="4">
        <v>7</v>
      </c>
      <c r="AE118" s="4">
        <v>12</v>
      </c>
      <c r="AF118" s="662">
        <v>11</v>
      </c>
      <c r="AG118" s="668" t="str">
        <f t="shared" si="70"/>
        <v xml:space="preserve"> </v>
      </c>
      <c r="AH118" s="189" t="str">
        <f t="shared" si="71"/>
        <v xml:space="preserve"> </v>
      </c>
      <c r="AI118" s="190" t="str">
        <f t="shared" si="72"/>
        <v xml:space="preserve"> </v>
      </c>
      <c r="AJ118" s="105">
        <f t="shared" si="73"/>
        <v>10</v>
      </c>
    </row>
    <row r="119" spans="1:179" ht="12" x14ac:dyDescent="0.2">
      <c r="A119" s="352" t="s">
        <v>131</v>
      </c>
      <c r="B119" s="102"/>
      <c r="C119" s="132"/>
      <c r="D119" s="102"/>
      <c r="E119" s="102"/>
      <c r="F119" s="102"/>
      <c r="G119" s="102"/>
      <c r="H119" s="5"/>
      <c r="I119" s="5"/>
      <c r="J119" s="102"/>
      <c r="K119" s="102"/>
      <c r="L119" s="102"/>
      <c r="M119" s="102"/>
      <c r="N119" s="5"/>
      <c r="O119" s="220"/>
      <c r="P119" s="220"/>
      <c r="Q119" s="279"/>
      <c r="R119" s="279">
        <v>0</v>
      </c>
      <c r="S119" s="289">
        <v>0</v>
      </c>
      <c r="T119" s="279">
        <v>0</v>
      </c>
      <c r="U119" s="473">
        <v>0</v>
      </c>
      <c r="V119" s="612"/>
      <c r="W119" s="522"/>
      <c r="X119" s="5">
        <v>0</v>
      </c>
      <c r="Y119" s="5">
        <v>0</v>
      </c>
      <c r="Z119" s="4">
        <v>1</v>
      </c>
      <c r="AA119" s="4">
        <v>2</v>
      </c>
      <c r="AB119" s="4">
        <v>12</v>
      </c>
      <c r="AC119" s="4">
        <v>4</v>
      </c>
      <c r="AD119" s="4">
        <v>3</v>
      </c>
      <c r="AE119" s="4">
        <v>5</v>
      </c>
      <c r="AF119" s="662">
        <v>11</v>
      </c>
      <c r="AG119" s="668" t="str">
        <f t="shared" si="70"/>
        <v xml:space="preserve"> </v>
      </c>
      <c r="AH119" s="189" t="str">
        <f t="shared" si="71"/>
        <v xml:space="preserve"> </v>
      </c>
      <c r="AI119" s="190" t="str">
        <f t="shared" si="72"/>
        <v xml:space="preserve"> </v>
      </c>
      <c r="AJ119" s="105">
        <f t="shared" si="73"/>
        <v>6.333333333333333</v>
      </c>
    </row>
    <row r="120" spans="1:179" ht="12" x14ac:dyDescent="0.2">
      <c r="A120" s="352" t="s">
        <v>132</v>
      </c>
      <c r="B120" s="102"/>
      <c r="C120" s="132"/>
      <c r="D120" s="102"/>
      <c r="E120" s="102"/>
      <c r="F120" s="102"/>
      <c r="G120" s="102"/>
      <c r="H120" s="5"/>
      <c r="I120" s="5"/>
      <c r="J120" s="102"/>
      <c r="K120" s="102"/>
      <c r="L120" s="102"/>
      <c r="M120" s="102"/>
      <c r="N120" s="5"/>
      <c r="O120" s="220"/>
      <c r="P120" s="220"/>
      <c r="Q120" s="279"/>
      <c r="R120" s="279">
        <v>0</v>
      </c>
      <c r="S120" s="289">
        <v>0</v>
      </c>
      <c r="T120" s="279">
        <v>0</v>
      </c>
      <c r="U120" s="473">
        <v>0</v>
      </c>
      <c r="V120" s="612"/>
      <c r="W120" s="516"/>
      <c r="X120" s="5">
        <v>0</v>
      </c>
      <c r="Y120" s="5">
        <v>0</v>
      </c>
      <c r="Z120" s="4">
        <v>0</v>
      </c>
      <c r="AA120" s="526"/>
      <c r="AB120" s="526"/>
      <c r="AC120" s="4">
        <v>1</v>
      </c>
      <c r="AD120" s="4">
        <v>0</v>
      </c>
      <c r="AE120" s="4">
        <v>1</v>
      </c>
      <c r="AF120" s="662">
        <v>0</v>
      </c>
      <c r="AG120" s="668" t="str">
        <f t="shared" si="70"/>
        <v xml:space="preserve"> </v>
      </c>
      <c r="AH120" s="189" t="str">
        <f t="shared" si="71"/>
        <v xml:space="preserve"> </v>
      </c>
      <c r="AI120" s="190" t="str">
        <f t="shared" si="72"/>
        <v xml:space="preserve"> </v>
      </c>
      <c r="AJ120" s="105" t="str">
        <f t="shared" si="73"/>
        <v xml:space="preserve">  </v>
      </c>
    </row>
    <row r="121" spans="1:179" ht="12" x14ac:dyDescent="0.2">
      <c r="A121" s="351" t="s">
        <v>133</v>
      </c>
      <c r="B121" s="401"/>
      <c r="C121" s="591"/>
      <c r="D121" s="401"/>
      <c r="E121" s="401"/>
      <c r="F121" s="401"/>
      <c r="G121" s="401"/>
      <c r="H121" s="6"/>
      <c r="I121" s="6"/>
      <c r="J121" s="401"/>
      <c r="K121" s="401"/>
      <c r="L121" s="401"/>
      <c r="M121" s="401"/>
      <c r="N121" s="6"/>
      <c r="O121" s="221"/>
      <c r="P121" s="221"/>
      <c r="Q121" s="280"/>
      <c r="R121" s="280">
        <v>0</v>
      </c>
      <c r="S121" s="290">
        <v>0</v>
      </c>
      <c r="T121" s="280">
        <v>0</v>
      </c>
      <c r="U121" s="476">
        <v>0</v>
      </c>
      <c r="V121" s="611"/>
      <c r="W121" s="514"/>
      <c r="X121" s="6">
        <v>0</v>
      </c>
      <c r="Y121" s="6">
        <v>0</v>
      </c>
      <c r="Z121" s="7">
        <v>0</v>
      </c>
      <c r="AA121" s="513"/>
      <c r="AB121" s="513"/>
      <c r="AC121" s="7">
        <v>1</v>
      </c>
      <c r="AD121" s="7">
        <v>0</v>
      </c>
      <c r="AE121" s="7">
        <v>0</v>
      </c>
      <c r="AF121" s="659">
        <v>0</v>
      </c>
      <c r="AG121" s="670" t="str">
        <f t="shared" si="70"/>
        <v xml:space="preserve"> </v>
      </c>
      <c r="AH121" s="191" t="str">
        <f t="shared" si="71"/>
        <v xml:space="preserve"> </v>
      </c>
      <c r="AI121" s="192" t="str">
        <f t="shared" si="72"/>
        <v xml:space="preserve"> </v>
      </c>
      <c r="AJ121" s="204" t="str">
        <f t="shared" si="73"/>
        <v xml:space="preserve">  </v>
      </c>
    </row>
    <row r="122" spans="1:179" ht="12.75" thickBot="1" x14ac:dyDescent="0.25">
      <c r="A122" s="570" t="s">
        <v>56</v>
      </c>
      <c r="B122" s="571">
        <f>SUM(B114:B121)</f>
        <v>80</v>
      </c>
      <c r="C122" s="571">
        <f t="shared" ref="C122:Z122" si="74">SUM(C114:C121)</f>
        <v>87</v>
      </c>
      <c r="D122" s="571">
        <f t="shared" si="74"/>
        <v>96</v>
      </c>
      <c r="E122" s="571">
        <f t="shared" si="74"/>
        <v>106</v>
      </c>
      <c r="F122" s="571">
        <f t="shared" si="74"/>
        <v>107</v>
      </c>
      <c r="G122" s="571">
        <f t="shared" si="74"/>
        <v>79</v>
      </c>
      <c r="H122" s="571">
        <f t="shared" si="74"/>
        <v>70</v>
      </c>
      <c r="I122" s="571">
        <f t="shared" si="74"/>
        <v>77</v>
      </c>
      <c r="J122" s="571">
        <f t="shared" si="74"/>
        <v>94</v>
      </c>
      <c r="K122" s="571">
        <f t="shared" si="74"/>
        <v>84</v>
      </c>
      <c r="L122" s="571">
        <f t="shared" si="74"/>
        <v>71</v>
      </c>
      <c r="M122" s="571">
        <f t="shared" si="74"/>
        <v>72</v>
      </c>
      <c r="N122" s="571">
        <f t="shared" si="74"/>
        <v>59</v>
      </c>
      <c r="O122" s="571">
        <f t="shared" si="74"/>
        <v>82</v>
      </c>
      <c r="P122" s="572">
        <f t="shared" si="74"/>
        <v>70</v>
      </c>
      <c r="Q122" s="573">
        <f t="shared" si="74"/>
        <v>66</v>
      </c>
      <c r="R122" s="573">
        <f t="shared" si="74"/>
        <v>56</v>
      </c>
      <c r="S122" s="573">
        <f t="shared" si="74"/>
        <v>71</v>
      </c>
      <c r="T122" s="573">
        <f t="shared" si="74"/>
        <v>83</v>
      </c>
      <c r="U122" s="574">
        <f t="shared" si="74"/>
        <v>62</v>
      </c>
      <c r="V122" s="636">
        <f t="shared" si="74"/>
        <v>70</v>
      </c>
      <c r="W122" s="575">
        <f t="shared" si="74"/>
        <v>47</v>
      </c>
      <c r="X122" s="571">
        <f t="shared" si="74"/>
        <v>55</v>
      </c>
      <c r="Y122" s="571">
        <f t="shared" si="74"/>
        <v>67</v>
      </c>
      <c r="Z122" s="571">
        <f t="shared" si="74"/>
        <v>45</v>
      </c>
      <c r="AA122" s="571">
        <f t="shared" ref="AA122:AD122" si="75">SUM(AA114:AA121)</f>
        <v>61</v>
      </c>
      <c r="AB122" s="571">
        <f t="shared" si="75"/>
        <v>68</v>
      </c>
      <c r="AC122" s="571">
        <f t="shared" si="75"/>
        <v>41</v>
      </c>
      <c r="AD122" s="571">
        <f t="shared" si="75"/>
        <v>43</v>
      </c>
      <c r="AE122" s="571">
        <f>SUM(AE114:AE121)</f>
        <v>61</v>
      </c>
      <c r="AF122" s="572">
        <f>SUM(AF114:AF121)</f>
        <v>53</v>
      </c>
      <c r="AG122" s="692">
        <f t="shared" si="70"/>
        <v>-0.13114754098360656</v>
      </c>
      <c r="AH122" s="576">
        <f t="shared" si="71"/>
        <v>-0.13114754098360656</v>
      </c>
      <c r="AI122" s="576">
        <f t="shared" si="72"/>
        <v>-0.24285714285714285</v>
      </c>
      <c r="AJ122" s="571">
        <f t="shared" si="73"/>
        <v>52.333333333333336</v>
      </c>
    </row>
    <row r="123" spans="1:179" ht="12.75" thickTop="1" x14ac:dyDescent="0.2">
      <c r="A123" s="353" t="s">
        <v>68</v>
      </c>
      <c r="B123" s="354"/>
      <c r="C123" s="354"/>
      <c r="D123" s="122"/>
      <c r="E123" s="122"/>
      <c r="F123" s="354"/>
      <c r="G123" s="354"/>
      <c r="H123" s="355"/>
      <c r="I123" s="355"/>
      <c r="J123" s="355"/>
      <c r="K123" s="355"/>
      <c r="L123" s="356"/>
      <c r="M123" s="355"/>
      <c r="N123" s="355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4"/>
      <c r="AA123" s="124"/>
      <c r="AB123" s="124"/>
      <c r="AC123" s="124"/>
      <c r="AD123" s="124"/>
      <c r="AE123" s="124"/>
      <c r="AF123" s="124"/>
      <c r="AG123" s="124"/>
      <c r="AH123" s="125"/>
      <c r="AI123" s="124"/>
      <c r="AJ123" s="211"/>
    </row>
    <row r="124" spans="1:179" ht="12" x14ac:dyDescent="0.2">
      <c r="A124" s="357" t="s">
        <v>34</v>
      </c>
      <c r="B124" s="126">
        <f t="shared" ref="B124:R124" si="76">+B90+B100</f>
        <v>0</v>
      </c>
      <c r="C124" s="126">
        <f t="shared" si="76"/>
        <v>0</v>
      </c>
      <c r="D124" s="126">
        <f t="shared" si="76"/>
        <v>0</v>
      </c>
      <c r="E124" s="126">
        <f t="shared" si="76"/>
        <v>0</v>
      </c>
      <c r="F124" s="126">
        <f t="shared" si="76"/>
        <v>0</v>
      </c>
      <c r="G124" s="126">
        <f t="shared" si="76"/>
        <v>0</v>
      </c>
      <c r="H124" s="126">
        <f t="shared" si="76"/>
        <v>0</v>
      </c>
      <c r="I124" s="126">
        <f t="shared" si="76"/>
        <v>0</v>
      </c>
      <c r="J124" s="126">
        <f t="shared" si="76"/>
        <v>0</v>
      </c>
      <c r="K124" s="126">
        <f t="shared" si="76"/>
        <v>0</v>
      </c>
      <c r="L124" s="126">
        <f t="shared" si="76"/>
        <v>0</v>
      </c>
      <c r="M124" s="126">
        <f t="shared" si="76"/>
        <v>0</v>
      </c>
      <c r="N124" s="126">
        <f t="shared" si="76"/>
        <v>0</v>
      </c>
      <c r="O124" s="249">
        <f t="shared" si="76"/>
        <v>0</v>
      </c>
      <c r="P124" s="249">
        <f t="shared" si="76"/>
        <v>8</v>
      </c>
      <c r="Q124" s="281">
        <f t="shared" si="76"/>
        <v>7</v>
      </c>
      <c r="R124" s="281">
        <f t="shared" si="76"/>
        <v>8</v>
      </c>
      <c r="S124" s="281">
        <f t="shared" ref="S124:AB124" si="77">+S90+S100+S121</f>
        <v>8</v>
      </c>
      <c r="T124" s="281">
        <f t="shared" si="77"/>
        <v>16</v>
      </c>
      <c r="U124" s="477">
        <f t="shared" si="77"/>
        <v>13</v>
      </c>
      <c r="V124" s="637">
        <f t="shared" si="77"/>
        <v>8</v>
      </c>
      <c r="W124" s="155">
        <f t="shared" si="77"/>
        <v>1</v>
      </c>
      <c r="X124" s="126">
        <f t="shared" si="77"/>
        <v>5</v>
      </c>
      <c r="Y124" s="126">
        <f t="shared" si="77"/>
        <v>21</v>
      </c>
      <c r="Z124" s="126">
        <f t="shared" si="77"/>
        <v>10</v>
      </c>
      <c r="AA124" s="126">
        <f t="shared" si="77"/>
        <v>10</v>
      </c>
      <c r="AB124" s="126">
        <f t="shared" si="77"/>
        <v>3</v>
      </c>
      <c r="AC124" s="126">
        <f>+AC120+AC100+AC90</f>
        <v>12</v>
      </c>
      <c r="AD124" s="126">
        <f>+AD120+AD100+AD90</f>
        <v>0</v>
      </c>
      <c r="AE124" s="126">
        <f>+AE120+AE100+AE90</f>
        <v>1</v>
      </c>
      <c r="AF124" s="663">
        <f>+AF120+AF100+AF90</f>
        <v>1</v>
      </c>
      <c r="AG124" s="693">
        <f t="shared" ref="AG124:AG129" si="78">IF(AF124=0," ",IF(AJ124&gt;20,(AF124-AE124)/AE124," "))</f>
        <v>0</v>
      </c>
      <c r="AH124" s="185">
        <f t="shared" ref="AH124:AH129" si="79">IF(AF124=0," ",IF(AJ124&gt;20,(AF124-AA124)/AA124," "))</f>
        <v>-0.9</v>
      </c>
      <c r="AI124" s="128">
        <f t="shared" ref="AI124:AI129" si="80">IF(AF124=0," ",(IF(AJ124&gt;20,(AF124-V124)/V124," ")))</f>
        <v>-0.875</v>
      </c>
      <c r="AJ124" s="206" t="str">
        <f t="shared" ref="AJ124:AJ129" si="81">IF(AD124&gt;0,AVERAGE(AD124:AF124),"  ")</f>
        <v xml:space="preserve">  </v>
      </c>
    </row>
    <row r="125" spans="1:179" ht="12" x14ac:dyDescent="0.2">
      <c r="A125" s="357" t="s">
        <v>29</v>
      </c>
      <c r="B125" s="127">
        <f t="shared" ref="B125:AE125" si="82">+B85+B84+B91+B99+B101+B102+B105+B106+B107+B115+B116+B117+B118+B112+B96</f>
        <v>138</v>
      </c>
      <c r="C125" s="127">
        <f t="shared" si="82"/>
        <v>137</v>
      </c>
      <c r="D125" s="127">
        <f t="shared" si="82"/>
        <v>158</v>
      </c>
      <c r="E125" s="127">
        <f t="shared" si="82"/>
        <v>163</v>
      </c>
      <c r="F125" s="127">
        <f t="shared" si="82"/>
        <v>178</v>
      </c>
      <c r="G125" s="127">
        <f t="shared" si="82"/>
        <v>142</v>
      </c>
      <c r="H125" s="127">
        <f t="shared" si="82"/>
        <v>136</v>
      </c>
      <c r="I125" s="127">
        <f t="shared" si="82"/>
        <v>155</v>
      </c>
      <c r="J125" s="127">
        <f t="shared" si="82"/>
        <v>194</v>
      </c>
      <c r="K125" s="127">
        <f t="shared" si="82"/>
        <v>207</v>
      </c>
      <c r="L125" s="127">
        <f t="shared" si="82"/>
        <v>190</v>
      </c>
      <c r="M125" s="127">
        <f t="shared" si="82"/>
        <v>209</v>
      </c>
      <c r="N125" s="127">
        <f t="shared" si="82"/>
        <v>170</v>
      </c>
      <c r="O125" s="250">
        <f t="shared" si="82"/>
        <v>222</v>
      </c>
      <c r="P125" s="250">
        <f t="shared" si="82"/>
        <v>209</v>
      </c>
      <c r="Q125" s="282">
        <f t="shared" si="82"/>
        <v>213</v>
      </c>
      <c r="R125" s="282">
        <f t="shared" si="82"/>
        <v>225</v>
      </c>
      <c r="S125" s="282">
        <f t="shared" si="82"/>
        <v>245</v>
      </c>
      <c r="T125" s="282">
        <f t="shared" si="82"/>
        <v>281</v>
      </c>
      <c r="U125" s="478">
        <f t="shared" si="82"/>
        <v>258</v>
      </c>
      <c r="V125" s="638">
        <f t="shared" si="82"/>
        <v>262</v>
      </c>
      <c r="W125" s="156">
        <f t="shared" si="82"/>
        <v>271</v>
      </c>
      <c r="X125" s="127">
        <f t="shared" si="82"/>
        <v>308</v>
      </c>
      <c r="Y125" s="127">
        <f t="shared" si="82"/>
        <v>323</v>
      </c>
      <c r="Z125" s="127">
        <f t="shared" si="82"/>
        <v>323</v>
      </c>
      <c r="AA125" s="127">
        <f t="shared" si="82"/>
        <v>324</v>
      </c>
      <c r="AB125" s="127">
        <f t="shared" si="82"/>
        <v>349</v>
      </c>
      <c r="AC125" s="127">
        <f t="shared" si="82"/>
        <v>331</v>
      </c>
      <c r="AD125" s="127">
        <f t="shared" si="82"/>
        <v>287</v>
      </c>
      <c r="AE125" s="127">
        <f t="shared" si="82"/>
        <v>277</v>
      </c>
      <c r="AF125" s="250">
        <f t="shared" ref="AF125" si="83">+AF85+AF84+AF91+AF99+AF101+AF102+AF105+AF106+AF107+AF115+AF116+AF117+AF118+AF112+AF96</f>
        <v>274</v>
      </c>
      <c r="AG125" s="694">
        <f t="shared" si="78"/>
        <v>-1.0830324909747292E-2</v>
      </c>
      <c r="AH125" s="186">
        <f t="shared" si="79"/>
        <v>-0.15432098765432098</v>
      </c>
      <c r="AI125" s="129">
        <f t="shared" si="80"/>
        <v>4.5801526717557252E-2</v>
      </c>
      <c r="AJ125" s="207">
        <f t="shared" si="81"/>
        <v>279.33333333333331</v>
      </c>
    </row>
    <row r="126" spans="1:179" ht="12" x14ac:dyDescent="0.2">
      <c r="A126" s="357" t="s">
        <v>66</v>
      </c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250"/>
      <c r="P126" s="250"/>
      <c r="Q126" s="282"/>
      <c r="R126" s="282">
        <v>0</v>
      </c>
      <c r="S126" s="282">
        <f t="shared" ref="S126:AB126" si="84">+S121+S119</f>
        <v>0</v>
      </c>
      <c r="T126" s="282">
        <f t="shared" si="84"/>
        <v>0</v>
      </c>
      <c r="U126" s="478">
        <f t="shared" si="84"/>
        <v>0</v>
      </c>
      <c r="V126" s="638">
        <f t="shared" si="84"/>
        <v>0</v>
      </c>
      <c r="W126" s="156">
        <f t="shared" si="84"/>
        <v>0</v>
      </c>
      <c r="X126" s="127">
        <f t="shared" si="84"/>
        <v>0</v>
      </c>
      <c r="Y126" s="127">
        <f t="shared" si="84"/>
        <v>0</v>
      </c>
      <c r="Z126" s="127">
        <f t="shared" si="84"/>
        <v>1</v>
      </c>
      <c r="AA126" s="127">
        <f t="shared" si="84"/>
        <v>2</v>
      </c>
      <c r="AB126" s="127">
        <f t="shared" si="84"/>
        <v>12</v>
      </c>
      <c r="AC126" s="127">
        <f>+AC121+AC119</f>
        <v>5</v>
      </c>
      <c r="AD126" s="127">
        <f>+AD121+AD119</f>
        <v>3</v>
      </c>
      <c r="AE126" s="127">
        <f>+AE121+AE119</f>
        <v>5</v>
      </c>
      <c r="AF126" s="250">
        <f>+AF121+AF119</f>
        <v>11</v>
      </c>
      <c r="AG126" s="694" t="str">
        <f t="shared" si="78"/>
        <v xml:space="preserve"> </v>
      </c>
      <c r="AH126" s="186" t="str">
        <f t="shared" si="79"/>
        <v xml:space="preserve"> </v>
      </c>
      <c r="AI126" s="129" t="str">
        <f t="shared" si="80"/>
        <v xml:space="preserve"> </v>
      </c>
      <c r="AJ126" s="207">
        <f t="shared" si="81"/>
        <v>6.333333333333333</v>
      </c>
    </row>
    <row r="127" spans="1:179" ht="12" x14ac:dyDescent="0.2">
      <c r="A127" s="357" t="s">
        <v>67</v>
      </c>
      <c r="B127" s="127">
        <f t="shared" ref="B127:AE127" si="85">+B88+B114</f>
        <v>0</v>
      </c>
      <c r="C127" s="127">
        <f t="shared" si="85"/>
        <v>0</v>
      </c>
      <c r="D127" s="127">
        <f t="shared" si="85"/>
        <v>0</v>
      </c>
      <c r="E127" s="127">
        <f t="shared" si="85"/>
        <v>0</v>
      </c>
      <c r="F127" s="127">
        <f t="shared" si="85"/>
        <v>0</v>
      </c>
      <c r="G127" s="127">
        <f t="shared" si="85"/>
        <v>0</v>
      </c>
      <c r="H127" s="127">
        <f t="shared" si="85"/>
        <v>0</v>
      </c>
      <c r="I127" s="127">
        <f t="shared" si="85"/>
        <v>0</v>
      </c>
      <c r="J127" s="127">
        <f t="shared" si="85"/>
        <v>0</v>
      </c>
      <c r="K127" s="127">
        <f t="shared" si="85"/>
        <v>0</v>
      </c>
      <c r="L127" s="127">
        <f t="shared" si="85"/>
        <v>0</v>
      </c>
      <c r="M127" s="127">
        <f t="shared" si="85"/>
        <v>0</v>
      </c>
      <c r="N127" s="127">
        <f t="shared" si="85"/>
        <v>0</v>
      </c>
      <c r="O127" s="250">
        <f t="shared" si="85"/>
        <v>0</v>
      </c>
      <c r="P127" s="250">
        <f t="shared" si="85"/>
        <v>0</v>
      </c>
      <c r="Q127" s="282">
        <f t="shared" si="85"/>
        <v>0</v>
      </c>
      <c r="R127" s="282">
        <f t="shared" si="85"/>
        <v>0</v>
      </c>
      <c r="S127" s="282">
        <f t="shared" si="85"/>
        <v>0</v>
      </c>
      <c r="T127" s="282">
        <f t="shared" si="85"/>
        <v>0</v>
      </c>
      <c r="U127" s="478">
        <f t="shared" si="85"/>
        <v>0</v>
      </c>
      <c r="V127" s="638">
        <f t="shared" si="85"/>
        <v>8</v>
      </c>
      <c r="W127" s="156">
        <f t="shared" si="85"/>
        <v>0</v>
      </c>
      <c r="X127" s="127">
        <f t="shared" si="85"/>
        <v>1</v>
      </c>
      <c r="Y127" s="127">
        <f t="shared" si="85"/>
        <v>13</v>
      </c>
      <c r="Z127" s="127">
        <f t="shared" si="85"/>
        <v>7</v>
      </c>
      <c r="AA127" s="127">
        <f t="shared" si="85"/>
        <v>15</v>
      </c>
      <c r="AB127" s="127">
        <f t="shared" si="85"/>
        <v>9</v>
      </c>
      <c r="AC127" s="127">
        <f t="shared" si="85"/>
        <v>18</v>
      </c>
      <c r="AD127" s="127">
        <f t="shared" si="85"/>
        <v>13</v>
      </c>
      <c r="AE127" s="127">
        <f t="shared" si="85"/>
        <v>13</v>
      </c>
      <c r="AF127" s="250">
        <f t="shared" ref="AF127" si="86">+AF88+AF114</f>
        <v>7</v>
      </c>
      <c r="AG127" s="694" t="str">
        <f t="shared" si="78"/>
        <v xml:space="preserve"> </v>
      </c>
      <c r="AH127" s="186" t="str">
        <f t="shared" si="79"/>
        <v xml:space="preserve"> </v>
      </c>
      <c r="AI127" s="129" t="str">
        <f t="shared" si="80"/>
        <v xml:space="preserve"> </v>
      </c>
      <c r="AJ127" s="207">
        <f t="shared" si="81"/>
        <v>11</v>
      </c>
    </row>
    <row r="128" spans="1:179" ht="12" x14ac:dyDescent="0.2">
      <c r="A128" s="357" t="s">
        <v>83</v>
      </c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250"/>
      <c r="P128" s="250"/>
      <c r="Q128" s="282"/>
      <c r="R128" s="282"/>
      <c r="S128" s="282"/>
      <c r="T128" s="282"/>
      <c r="U128" s="478">
        <f t="shared" ref="U128:AD128" si="87">U89</f>
        <v>0</v>
      </c>
      <c r="V128" s="638">
        <f t="shared" si="87"/>
        <v>0</v>
      </c>
      <c r="W128" s="156">
        <f t="shared" si="87"/>
        <v>0</v>
      </c>
      <c r="X128" s="127">
        <f t="shared" si="87"/>
        <v>0</v>
      </c>
      <c r="Y128" s="127">
        <f t="shared" si="87"/>
        <v>0</v>
      </c>
      <c r="Z128" s="127">
        <f t="shared" si="87"/>
        <v>0</v>
      </c>
      <c r="AA128" s="127">
        <f t="shared" si="87"/>
        <v>0</v>
      </c>
      <c r="AB128" s="127">
        <f t="shared" si="87"/>
        <v>0</v>
      </c>
      <c r="AC128" s="127">
        <f t="shared" si="87"/>
        <v>0</v>
      </c>
      <c r="AD128" s="127">
        <f t="shared" si="87"/>
        <v>0</v>
      </c>
      <c r="AE128" s="127">
        <f>AE89</f>
        <v>1</v>
      </c>
      <c r="AF128" s="250">
        <f>AF89</f>
        <v>0</v>
      </c>
      <c r="AG128" s="695" t="str">
        <f t="shared" si="78"/>
        <v xml:space="preserve"> </v>
      </c>
      <c r="AH128" s="186" t="str">
        <f t="shared" si="79"/>
        <v xml:space="preserve"> </v>
      </c>
      <c r="AI128" s="386" t="str">
        <f t="shared" si="80"/>
        <v xml:space="preserve"> </v>
      </c>
      <c r="AJ128" s="207" t="str">
        <f t="shared" si="81"/>
        <v xml:space="preserve">  </v>
      </c>
    </row>
    <row r="129" spans="1:44" ht="13.5" thickBot="1" x14ac:dyDescent="0.25">
      <c r="A129" s="330" t="s">
        <v>69</v>
      </c>
      <c r="B129" s="133">
        <f t="shared" ref="B129:T129" si="88">+B127+B126+B124+B125</f>
        <v>138</v>
      </c>
      <c r="C129" s="133">
        <f t="shared" si="88"/>
        <v>137</v>
      </c>
      <c r="D129" s="133">
        <f t="shared" si="88"/>
        <v>158</v>
      </c>
      <c r="E129" s="133">
        <f t="shared" si="88"/>
        <v>163</v>
      </c>
      <c r="F129" s="133">
        <f t="shared" si="88"/>
        <v>178</v>
      </c>
      <c r="G129" s="133">
        <f t="shared" si="88"/>
        <v>142</v>
      </c>
      <c r="H129" s="133">
        <f t="shared" si="88"/>
        <v>136</v>
      </c>
      <c r="I129" s="133">
        <f t="shared" si="88"/>
        <v>155</v>
      </c>
      <c r="J129" s="133">
        <f t="shared" si="88"/>
        <v>194</v>
      </c>
      <c r="K129" s="133">
        <f t="shared" si="88"/>
        <v>207</v>
      </c>
      <c r="L129" s="133">
        <f t="shared" si="88"/>
        <v>190</v>
      </c>
      <c r="M129" s="133">
        <f t="shared" si="88"/>
        <v>209</v>
      </c>
      <c r="N129" s="133">
        <f t="shared" si="88"/>
        <v>170</v>
      </c>
      <c r="O129" s="239">
        <f t="shared" si="88"/>
        <v>222</v>
      </c>
      <c r="P129" s="239">
        <f t="shared" si="88"/>
        <v>217</v>
      </c>
      <c r="Q129" s="273">
        <f t="shared" si="88"/>
        <v>220</v>
      </c>
      <c r="R129" s="273">
        <f t="shared" si="88"/>
        <v>233</v>
      </c>
      <c r="S129" s="273">
        <f t="shared" si="88"/>
        <v>253</v>
      </c>
      <c r="T129" s="273">
        <f t="shared" si="88"/>
        <v>297</v>
      </c>
      <c r="U129" s="463">
        <f t="shared" ref="U129:AD129" si="89">+U128+U127+U126+U124+U125</f>
        <v>271</v>
      </c>
      <c r="V129" s="614">
        <f t="shared" si="89"/>
        <v>278</v>
      </c>
      <c r="W129" s="151">
        <f t="shared" si="89"/>
        <v>272</v>
      </c>
      <c r="X129" s="29">
        <f t="shared" si="89"/>
        <v>314</v>
      </c>
      <c r="Y129" s="29">
        <f t="shared" si="89"/>
        <v>357</v>
      </c>
      <c r="Z129" s="29">
        <f t="shared" si="89"/>
        <v>341</v>
      </c>
      <c r="AA129" s="29">
        <f t="shared" si="89"/>
        <v>351</v>
      </c>
      <c r="AB129" s="29">
        <f t="shared" si="89"/>
        <v>373</v>
      </c>
      <c r="AC129" s="29">
        <f t="shared" si="89"/>
        <v>366</v>
      </c>
      <c r="AD129" s="29">
        <f t="shared" si="89"/>
        <v>303</v>
      </c>
      <c r="AE129" s="29">
        <f>+AE128+AE127+AE126+AE124+AE125</f>
        <v>297</v>
      </c>
      <c r="AF129" s="239">
        <f>+AF128+AF127+AF126+AF124+AF125</f>
        <v>293</v>
      </c>
      <c r="AG129" s="696">
        <f t="shared" si="78"/>
        <v>-1.3468013468013467E-2</v>
      </c>
      <c r="AH129" s="182">
        <f t="shared" si="79"/>
        <v>-0.16524216524216523</v>
      </c>
      <c r="AI129" s="184">
        <f t="shared" si="80"/>
        <v>5.3956834532374098E-2</v>
      </c>
      <c r="AJ129" s="29">
        <f t="shared" si="81"/>
        <v>297.66666666666669</v>
      </c>
    </row>
    <row r="130" spans="1:44" ht="12.75" thickTop="1" thickBot="1" x14ac:dyDescent="0.25">
      <c r="AG130" s="697"/>
    </row>
    <row r="131" spans="1:44" ht="14.25" thickTop="1" thickBot="1" x14ac:dyDescent="0.25">
      <c r="A131" s="701" t="s">
        <v>70</v>
      </c>
      <c r="B131" s="130">
        <f>+B129+B74</f>
        <v>1144</v>
      </c>
      <c r="C131" s="130">
        <f>+C129+C74</f>
        <v>1210</v>
      </c>
      <c r="D131" s="130">
        <f>+D129+D74</f>
        <v>1293</v>
      </c>
      <c r="E131" s="130">
        <f>+E129+E74</f>
        <v>1348</v>
      </c>
      <c r="F131" s="130">
        <f>+F129+F74</f>
        <v>1285</v>
      </c>
      <c r="G131" s="130">
        <f>+G129+G74</f>
        <v>1133</v>
      </c>
      <c r="H131" s="130">
        <f>+H129+H74</f>
        <v>1352</v>
      </c>
      <c r="I131" s="130">
        <f>+I129+I74</f>
        <v>1386</v>
      </c>
      <c r="J131" s="130">
        <f>+J129+J74</f>
        <v>1546</v>
      </c>
      <c r="K131" s="130">
        <f>+K129+K74</f>
        <v>1506</v>
      </c>
      <c r="L131" s="130">
        <f>+L129+L74</f>
        <v>1503</v>
      </c>
      <c r="M131" s="130">
        <f>+M129+M74</f>
        <v>1609</v>
      </c>
      <c r="N131" s="130">
        <f>+N129+N74</f>
        <v>1609</v>
      </c>
      <c r="O131" s="251">
        <f>+O129+O74</f>
        <v>1775</v>
      </c>
      <c r="P131" s="251">
        <f>+P129+P74</f>
        <v>1825</v>
      </c>
      <c r="Q131" s="283">
        <f>+Q129+Q74</f>
        <v>1881</v>
      </c>
      <c r="R131" s="283">
        <f>+R129+R74</f>
        <v>1942</v>
      </c>
      <c r="S131" s="283">
        <f>+S129+S74</f>
        <v>2040</v>
      </c>
      <c r="T131" s="283">
        <f>+T129+T74</f>
        <v>2169</v>
      </c>
      <c r="U131" s="479">
        <f>+U129+U74</f>
        <v>2170</v>
      </c>
      <c r="V131" s="639">
        <f>+V129+V74</f>
        <v>2213</v>
      </c>
      <c r="W131" s="157">
        <f>+W129+W74</f>
        <v>2239</v>
      </c>
      <c r="X131" s="130">
        <f>+X129+X74</f>
        <v>2340</v>
      </c>
      <c r="Y131" s="130">
        <f>+Y129+Y74</f>
        <v>2229</v>
      </c>
      <c r="Z131" s="130">
        <f>+Z129+Z74</f>
        <v>2146</v>
      </c>
      <c r="AA131" s="130">
        <f>+AA129+AA74</f>
        <v>2258</v>
      </c>
      <c r="AB131" s="130">
        <f>+AB129+AB74</f>
        <v>2215</v>
      </c>
      <c r="AC131" s="130">
        <f>+AC129+AC74</f>
        <v>2030</v>
      </c>
      <c r="AD131" s="130">
        <f>+AD129+AD74</f>
        <v>1908</v>
      </c>
      <c r="AE131" s="130">
        <f>+AE129+AE74</f>
        <v>1765</v>
      </c>
      <c r="AF131" s="251">
        <f>+AF129+AF74</f>
        <v>1669</v>
      </c>
      <c r="AG131" s="698">
        <f>IF(AF131=0," ",IF(AJ131&gt;20,(AF131-AE131)/AE131," "))</f>
        <v>-5.4390934844192634E-2</v>
      </c>
      <c r="AH131" s="183">
        <f>IF(AF131=0," ",IF(AJ131&gt;20,(AF131-AA131)/AA131," "))</f>
        <v>-0.26085031000885739</v>
      </c>
      <c r="AI131" s="208">
        <f>IF(AF131=0," ",(IF(AJ131&gt;20,(AF131-V131)/V131," ")))</f>
        <v>-0.24582015363759602</v>
      </c>
      <c r="AJ131" s="209">
        <f>IF(AD131&gt;0,AVERAGE(AD131:AF131),"  ")</f>
        <v>1780.6666666666667</v>
      </c>
      <c r="AK131" s="131"/>
      <c r="AL131" s="131"/>
      <c r="AM131" s="304"/>
      <c r="AN131" s="304"/>
      <c r="AO131" s="304"/>
      <c r="AP131" s="304"/>
      <c r="AQ131" s="304"/>
      <c r="AR131" s="304"/>
    </row>
    <row r="132" spans="1:44" ht="8.4499999999999993" customHeight="1" thickTop="1" thickBot="1" x14ac:dyDescent="0.25"/>
    <row r="133" spans="1:44" ht="12.75" thickTop="1" x14ac:dyDescent="0.2">
      <c r="A133" s="362" t="s">
        <v>72</v>
      </c>
      <c r="B133" s="363"/>
      <c r="C133" s="363"/>
      <c r="D133" s="252"/>
      <c r="E133" s="252"/>
      <c r="F133" s="363"/>
      <c r="G133" s="363"/>
      <c r="H133" s="364"/>
      <c r="I133" s="364"/>
      <c r="J133" s="364"/>
      <c r="K133" s="364"/>
      <c r="L133" s="365"/>
      <c r="M133" s="364"/>
      <c r="N133" s="364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4"/>
      <c r="AA133" s="254"/>
      <c r="AB133" s="254"/>
      <c r="AC133" s="254"/>
      <c r="AD133" s="254"/>
      <c r="AE133" s="254"/>
      <c r="AF133" s="254"/>
      <c r="AG133" s="254"/>
      <c r="AH133" s="255"/>
      <c r="AI133" s="254"/>
      <c r="AJ133" s="256"/>
    </row>
    <row r="134" spans="1:44" ht="12" x14ac:dyDescent="0.2">
      <c r="A134" s="491" t="s">
        <v>130</v>
      </c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249"/>
      <c r="P134" s="249"/>
      <c r="Q134" s="281"/>
      <c r="R134" s="281">
        <v>0</v>
      </c>
      <c r="S134" s="281"/>
      <c r="T134" s="281">
        <v>0</v>
      </c>
      <c r="U134" s="492"/>
      <c r="V134" s="640"/>
      <c r="W134" s="155"/>
      <c r="X134" s="126"/>
      <c r="Y134" s="126">
        <v>1</v>
      </c>
      <c r="Z134" s="126">
        <v>9</v>
      </c>
      <c r="AA134" s="126">
        <v>4</v>
      </c>
      <c r="AB134" s="126">
        <v>17</v>
      </c>
      <c r="AC134" s="126">
        <v>10</v>
      </c>
      <c r="AD134" s="126">
        <v>14</v>
      </c>
      <c r="AE134" s="126">
        <v>12</v>
      </c>
      <c r="AF134" s="664">
        <v>18</v>
      </c>
      <c r="AG134" s="693" t="str">
        <f t="shared" ref="AG134:AG136" si="90">IF(AF134=0," ",IF(AJ134&gt;20,(AF134-AE134)/AE134," "))</f>
        <v xml:space="preserve"> </v>
      </c>
      <c r="AH134" s="493" t="str">
        <f t="shared" ref="AH134:AH136" si="91">IF(AF134=0," ",IF(AJ134&gt;20,(AF134-AA134)/AA134," "))</f>
        <v xml:space="preserve"> </v>
      </c>
      <c r="AI134" s="128" t="str">
        <f t="shared" ref="AI134:AI136" si="92">IF(AF134=0," ",(IF(AJ134&gt;20,(AF134-V134)/V134," ")))</f>
        <v xml:space="preserve"> </v>
      </c>
      <c r="AJ134" s="206">
        <f t="shared" ref="AJ134:AJ136" si="93">IF(AD134&gt;0,AVERAGE(AD134:AF134),"  ")</f>
        <v>14.666666666666666</v>
      </c>
    </row>
    <row r="135" spans="1:44" ht="12" x14ac:dyDescent="0.2">
      <c r="A135" s="494" t="s">
        <v>114</v>
      </c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495"/>
      <c r="M135" s="495"/>
      <c r="N135" s="495"/>
      <c r="O135" s="496"/>
      <c r="P135" s="496"/>
      <c r="Q135" s="497"/>
      <c r="R135" s="497"/>
      <c r="S135" s="497"/>
      <c r="T135" s="497"/>
      <c r="U135" s="498"/>
      <c r="V135" s="641"/>
      <c r="W135" s="499"/>
      <c r="X135" s="500"/>
      <c r="Y135" s="500"/>
      <c r="Z135" s="500"/>
      <c r="AA135" s="501"/>
      <c r="AB135" s="502"/>
      <c r="AC135" s="502"/>
      <c r="AD135" s="502"/>
      <c r="AE135" s="499"/>
      <c r="AF135" s="665">
        <v>2</v>
      </c>
      <c r="AG135" s="699"/>
      <c r="AH135" s="504"/>
      <c r="AI135" s="503"/>
      <c r="AJ135" s="505" t="str">
        <f t="shared" si="93"/>
        <v xml:space="preserve">  </v>
      </c>
    </row>
    <row r="136" spans="1:44" ht="12" x14ac:dyDescent="0.2">
      <c r="A136" s="506" t="s">
        <v>115</v>
      </c>
      <c r="B136" s="507"/>
      <c r="C136" s="507"/>
      <c r="D136" s="507"/>
      <c r="E136" s="507"/>
      <c r="F136" s="507"/>
      <c r="G136" s="507"/>
      <c r="H136" s="507"/>
      <c r="I136" s="507"/>
      <c r="J136" s="507"/>
      <c r="K136" s="507"/>
      <c r="L136" s="507"/>
      <c r="M136" s="507"/>
      <c r="N136" s="507"/>
      <c r="O136" s="508"/>
      <c r="P136" s="508"/>
      <c r="Q136" s="509"/>
      <c r="R136" s="509"/>
      <c r="S136" s="509"/>
      <c r="T136" s="509"/>
      <c r="U136" s="510"/>
      <c r="V136" s="642"/>
      <c r="W136" s="511"/>
      <c r="X136" s="507"/>
      <c r="Y136" s="507"/>
      <c r="Z136" s="507"/>
      <c r="AA136" s="508">
        <f>+AA135+AA134</f>
        <v>4</v>
      </c>
      <c r="AB136" s="508">
        <f t="shared" ref="AB136:AF136" si="94">+AB135+AB134</f>
        <v>17</v>
      </c>
      <c r="AC136" s="508">
        <f t="shared" si="94"/>
        <v>10</v>
      </c>
      <c r="AD136" s="508">
        <f t="shared" si="94"/>
        <v>14</v>
      </c>
      <c r="AE136" s="508">
        <f t="shared" si="94"/>
        <v>12</v>
      </c>
      <c r="AF136" s="508">
        <f t="shared" si="94"/>
        <v>20</v>
      </c>
      <c r="AG136" s="699" t="str">
        <f t="shared" si="90"/>
        <v xml:space="preserve"> </v>
      </c>
      <c r="AH136" s="504" t="str">
        <f t="shared" si="91"/>
        <v xml:space="preserve"> </v>
      </c>
      <c r="AI136" s="503" t="str">
        <f t="shared" si="92"/>
        <v xml:space="preserve"> </v>
      </c>
      <c r="AJ136" s="505">
        <f t="shared" si="93"/>
        <v>15.333333333333334</v>
      </c>
    </row>
    <row r="137" spans="1:44" ht="7.15" customHeight="1" thickBot="1" x14ac:dyDescent="0.25">
      <c r="T137" s="366"/>
      <c r="U137" s="366"/>
      <c r="V137" s="366"/>
      <c r="W137" s="366"/>
      <c r="X137" s="366"/>
      <c r="Y137" s="367"/>
      <c r="Z137" s="367"/>
      <c r="AA137" s="367"/>
      <c r="AB137" s="367"/>
      <c r="AC137" s="367"/>
      <c r="AD137" s="367"/>
      <c r="AE137" s="367"/>
      <c r="AF137" s="367"/>
      <c r="AG137" s="368"/>
      <c r="AH137" s="368"/>
      <c r="AI137" s="3"/>
    </row>
    <row r="138" spans="1:44" x14ac:dyDescent="0.2">
      <c r="A138" s="304"/>
      <c r="Z138" s="304"/>
      <c r="AA138" s="725" t="s">
        <v>119</v>
      </c>
      <c r="AB138" s="726"/>
      <c r="AC138" s="726"/>
      <c r="AD138" s="726"/>
      <c r="AE138" s="726"/>
      <c r="AF138" s="726"/>
      <c r="AG138" s="726"/>
      <c r="AH138" s="726"/>
      <c r="AI138" s="726"/>
      <c r="AJ138" s="727"/>
      <c r="AK138" s="384"/>
      <c r="AL138" s="384"/>
      <c r="AR138" s="304"/>
    </row>
    <row r="139" spans="1:44" ht="11.25" customHeight="1" x14ac:dyDescent="0.2">
      <c r="A139" s="304"/>
      <c r="Z139" s="304"/>
      <c r="AA139" s="722" t="s">
        <v>106</v>
      </c>
      <c r="AB139" s="723"/>
      <c r="AC139" s="724"/>
      <c r="AD139" s="728" t="s">
        <v>78</v>
      </c>
      <c r="AE139" s="729"/>
      <c r="AF139" s="729"/>
      <c r="AG139" s="438"/>
      <c r="AH139" s="730" t="s">
        <v>36</v>
      </c>
      <c r="AI139" s="723"/>
      <c r="AJ139" s="731"/>
      <c r="AK139" s="385"/>
      <c r="AL139" s="385"/>
      <c r="AR139" s="304"/>
    </row>
    <row r="140" spans="1:44" x14ac:dyDescent="0.2">
      <c r="A140" s="304"/>
      <c r="T140" s="304"/>
      <c r="U140" s="2"/>
      <c r="V140" s="304"/>
      <c r="W140" s="1"/>
      <c r="X140" s="1"/>
      <c r="AA140" s="369" t="s">
        <v>75</v>
      </c>
      <c r="AB140" s="297"/>
      <c r="AC140" s="370"/>
      <c r="AD140" s="375" t="s">
        <v>109</v>
      </c>
      <c r="AE140" s="371"/>
      <c r="AF140" s="371"/>
      <c r="AG140" s="371"/>
      <c r="AH140" s="372" t="s">
        <v>1</v>
      </c>
      <c r="AI140" s="373"/>
      <c r="AJ140" s="374"/>
    </row>
    <row r="141" spans="1:44" x14ac:dyDescent="0.2">
      <c r="A141" s="304"/>
      <c r="T141" s="210"/>
      <c r="U141" s="210"/>
      <c r="V141" s="210"/>
      <c r="W141" s="210"/>
      <c r="X141" s="210"/>
      <c r="AA141" s="369" t="s">
        <v>117</v>
      </c>
      <c r="AB141" s="297"/>
      <c r="AC141" s="370"/>
      <c r="AD141" s="378" t="s">
        <v>12</v>
      </c>
      <c r="AE141" s="376"/>
      <c r="AF141" s="376"/>
      <c r="AG141" s="376"/>
      <c r="AH141" s="375" t="s">
        <v>33</v>
      </c>
      <c r="AI141" s="376"/>
      <c r="AJ141" s="377"/>
    </row>
    <row r="142" spans="1:44" x14ac:dyDescent="0.2">
      <c r="A142" s="304"/>
      <c r="AA142" s="369" t="s">
        <v>24</v>
      </c>
      <c r="AB142" s="297"/>
      <c r="AC142" s="370"/>
      <c r="AD142" s="378" t="s">
        <v>1</v>
      </c>
      <c r="AE142" s="379"/>
      <c r="AF142" s="379"/>
      <c r="AG142" s="379"/>
      <c r="AH142" s="378" t="s">
        <v>12</v>
      </c>
      <c r="AI142" s="379"/>
      <c r="AJ142" s="300"/>
    </row>
    <row r="143" spans="1:44" x14ac:dyDescent="0.2">
      <c r="A143" s="304"/>
      <c r="AA143" s="369" t="s">
        <v>10</v>
      </c>
      <c r="AB143" s="297"/>
      <c r="AC143" s="370"/>
      <c r="AD143" s="375" t="s">
        <v>33</v>
      </c>
      <c r="AE143" s="376"/>
      <c r="AF143" s="376"/>
      <c r="AG143" s="376"/>
      <c r="AH143" s="375" t="s">
        <v>109</v>
      </c>
      <c r="AI143" s="379"/>
      <c r="AJ143" s="300"/>
    </row>
    <row r="144" spans="1:44" x14ac:dyDescent="0.2">
      <c r="A144" s="304"/>
      <c r="AA144" s="369" t="s">
        <v>118</v>
      </c>
      <c r="AB144" s="297"/>
      <c r="AC144" s="370"/>
      <c r="AD144" s="375" t="s">
        <v>15</v>
      </c>
      <c r="AE144" s="376"/>
      <c r="AF144" s="376"/>
      <c r="AG144" s="376"/>
      <c r="AH144" s="375"/>
      <c r="AI144" s="379"/>
      <c r="AJ144" s="300"/>
    </row>
    <row r="145" spans="1:36" ht="12" thickBot="1" x14ac:dyDescent="0.25">
      <c r="A145" s="304"/>
      <c r="AA145" s="512"/>
      <c r="AB145" s="298"/>
      <c r="AC145" s="380"/>
      <c r="AD145" s="381" t="s">
        <v>20</v>
      </c>
      <c r="AE145" s="382"/>
      <c r="AF145" s="382"/>
      <c r="AG145" s="382"/>
      <c r="AH145" s="381"/>
      <c r="AI145" s="383"/>
      <c r="AJ145" s="301"/>
    </row>
    <row r="146" spans="1:36" x14ac:dyDescent="0.2">
      <c r="A146" s="299" t="s">
        <v>86</v>
      </c>
      <c r="AA146" s="533" t="s">
        <v>139</v>
      </c>
      <c r="AB146" s="534"/>
      <c r="AC146" s="535"/>
      <c r="AD146" s="536"/>
      <c r="AE146" s="536"/>
      <c r="AF146" s="536"/>
      <c r="AG146" s="536"/>
      <c r="AH146" s="537"/>
      <c r="AI146" s="536"/>
      <c r="AJ146" s="538"/>
    </row>
    <row r="147" spans="1:36" ht="12" thickBot="1" x14ac:dyDescent="0.25">
      <c r="A147" s="389" t="s">
        <v>121</v>
      </c>
      <c r="AA147" s="539" t="s">
        <v>138</v>
      </c>
      <c r="AB147" s="540"/>
      <c r="AC147" s="541"/>
      <c r="AD147" s="542"/>
      <c r="AE147" s="542"/>
      <c r="AF147" s="542"/>
      <c r="AG147" s="542"/>
      <c r="AH147" s="543"/>
      <c r="AI147" s="542"/>
      <c r="AJ147" s="544"/>
    </row>
    <row r="148" spans="1:36" ht="12.75" customHeight="1" x14ac:dyDescent="0.2">
      <c r="A148" s="387" t="s">
        <v>122</v>
      </c>
    </row>
    <row r="149" spans="1:36" ht="12.75" customHeight="1" x14ac:dyDescent="0.2">
      <c r="A149" s="387" t="s">
        <v>124</v>
      </c>
    </row>
    <row r="150" spans="1:36" ht="12.75" customHeight="1" x14ac:dyDescent="0.2">
      <c r="A150" s="388" t="s">
        <v>125</v>
      </c>
    </row>
    <row r="151" spans="1:36" ht="12.75" customHeight="1" x14ac:dyDescent="0.2">
      <c r="A151" s="304"/>
    </row>
  </sheetData>
  <sortState xmlns:xlrd2="http://schemas.microsoft.com/office/spreadsheetml/2017/richdata2" ref="A148:FW151">
    <sortCondition ref="A148:A151"/>
  </sortState>
  <phoneticPr fontId="0" type="noConversion"/>
  <printOptions horizontalCentered="1"/>
  <pageMargins left="0.5" right="0.5" top="0.15" bottom="0.35" header="0.5" footer="0.2"/>
  <pageSetup scale="85" orientation="portrait" r:id="rId1"/>
  <headerFooter alignWithMargins="0">
    <oddFooter>&amp;L&amp;"Times New Roman,Regular"&amp;9Source: MHEC DIS&amp;C&amp;"Times New Roman,Regular"&amp;10C-6.0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C-6</vt:lpstr>
      <vt:lpstr>'C-6'!Print_Area</vt:lpstr>
    </vt:vector>
  </TitlesOfParts>
  <Company>Salisbury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Lane Ent Mister</cp:lastModifiedBy>
  <cp:lastPrinted>2025-08-06T12:22:00Z</cp:lastPrinted>
  <dcterms:created xsi:type="dcterms:W3CDTF">2005-10-04T15:11:02Z</dcterms:created>
  <dcterms:modified xsi:type="dcterms:W3CDTF">2026-04-21T18:42:23Z</dcterms:modified>
</cp:coreProperties>
</file>