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ockus\Desktop\UARA Site Update\"/>
    </mc:Choice>
  </mc:AlternateContent>
  <xr:revisionPtr revIDLastSave="0" documentId="13_ncr:1_{0CA0CB4F-ED0E-445B-8683-A81A91128531}" xr6:coauthVersionLast="47" xr6:coauthVersionMax="47" xr10:uidLastSave="{00000000-0000-0000-0000-000000000000}"/>
  <bookViews>
    <workbookView xWindow="-120" yWindow="-120" windowWidth="29040" windowHeight="15720" tabRatio="830" activeTab="3" xr2:uid="{00000000-000D-0000-FFFF-FFFF00000000}"/>
  </bookViews>
  <sheets>
    <sheet name="overall" sheetId="8" r:id="rId1"/>
    <sheet name="race" sheetId="2" r:id="rId2"/>
    <sheet name="gender" sheetId="3" r:id="rId3"/>
    <sheet name="Race and Gender" sheetId="7" r:id="rId4"/>
    <sheet name="Pell" sheetId="4" r:id="rId5"/>
    <sheet name="Stafford" sheetId="5" r:id="rId6"/>
    <sheet name="No Pell or Stafford" sheetId="6" r:id="rId7"/>
  </sheets>
  <definedNames>
    <definedName name="_xlnm.Print_Area" localSheetId="0">overall!$A$1:$Y$37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8" l="1"/>
  <c r="M9" i="8"/>
  <c r="N9" i="8"/>
  <c r="O9" i="8"/>
  <c r="AG9" i="8"/>
  <c r="AH9" i="8"/>
  <c r="AI9" i="8"/>
  <c r="AJ9" i="8"/>
  <c r="AK9" i="8"/>
  <c r="AL9" i="8"/>
  <c r="AG11" i="8"/>
  <c r="AG14" i="8" s="1"/>
  <c r="AG15" i="8" s="1"/>
  <c r="AH11" i="8"/>
  <c r="AL11" i="8"/>
  <c r="L12" i="8"/>
  <c r="M12" i="8"/>
  <c r="N12" i="8"/>
  <c r="O12" i="8"/>
  <c r="AH12" i="8"/>
  <c r="AI12" i="8"/>
  <c r="AJ12" i="8"/>
  <c r="AK12" i="8"/>
  <c r="AL12" i="8"/>
  <c r="AH14" i="8"/>
  <c r="AH15" i="8" s="1"/>
  <c r="AL14" i="8"/>
  <c r="AL15" i="8" s="1"/>
  <c r="L15" i="8"/>
  <c r="M15" i="8"/>
  <c r="N15" i="8"/>
  <c r="O15" i="8"/>
  <c r="AI15" i="8"/>
  <c r="AJ15" i="8"/>
  <c r="AK15" i="8"/>
  <c r="AG12" i="8" l="1"/>
  <c r="AY12" i="3"/>
  <c r="BE8" i="3"/>
  <c r="BE7" i="3"/>
  <c r="BC8" i="3"/>
  <c r="BC7" i="3"/>
  <c r="BA7" i="3"/>
  <c r="BA8" i="3"/>
  <c r="AY8" i="3"/>
  <c r="AY7" i="3"/>
  <c r="AA11" i="4"/>
  <c r="AD11" i="4"/>
  <c r="AI6" i="6"/>
  <c r="AI6" i="5"/>
  <c r="AE11" i="4"/>
  <c r="AF9" i="4"/>
  <c r="AF7" i="4"/>
  <c r="AF5" i="4"/>
  <c r="BT23" i="7"/>
  <c r="BT25" i="7"/>
  <c r="BT11" i="7"/>
  <c r="BT12" i="7"/>
  <c r="BT13" i="7"/>
  <c r="BR41" i="7"/>
  <c r="BO41" i="7"/>
  <c r="BU40" i="7"/>
  <c r="BS40" i="7"/>
  <c r="BT40" i="7" s="1"/>
  <c r="BP40" i="7"/>
  <c r="BQ40" i="7" s="1"/>
  <c r="BU39" i="7"/>
  <c r="BS39" i="7"/>
  <c r="BP39" i="7"/>
  <c r="BQ39" i="7" s="1"/>
  <c r="BU38" i="7"/>
  <c r="BS38" i="7"/>
  <c r="BP38" i="7"/>
  <c r="BQ38" i="7" s="1"/>
  <c r="BU37" i="7"/>
  <c r="BS37" i="7"/>
  <c r="BP37" i="7"/>
  <c r="BQ37" i="7" s="1"/>
  <c r="BU36" i="7"/>
  <c r="BS36" i="7"/>
  <c r="BT36" i="7" s="1"/>
  <c r="BP36" i="7"/>
  <c r="BU35" i="7"/>
  <c r="BS35" i="7"/>
  <c r="BT35" i="7" s="1"/>
  <c r="BP35" i="7"/>
  <c r="BQ35" i="7" s="1"/>
  <c r="BU34" i="7"/>
  <c r="BS34" i="7"/>
  <c r="BT34" i="7" s="1"/>
  <c r="BP34" i="7"/>
  <c r="BQ34" i="7" s="1"/>
  <c r="BU33" i="7"/>
  <c r="BS33" i="7"/>
  <c r="BT33" i="7" s="1"/>
  <c r="BP33" i="7"/>
  <c r="BQ33" i="7" s="1"/>
  <c r="BU32" i="7"/>
  <c r="BS32" i="7"/>
  <c r="BP32" i="7"/>
  <c r="BR29" i="7"/>
  <c r="BO29" i="7"/>
  <c r="BU28" i="7"/>
  <c r="BS28" i="7"/>
  <c r="BV28" i="7" s="1"/>
  <c r="BP28" i="7"/>
  <c r="BQ28" i="7" s="1"/>
  <c r="BU27" i="7"/>
  <c r="BS27" i="7"/>
  <c r="BP27" i="7"/>
  <c r="BQ27" i="7" s="1"/>
  <c r="BU26" i="7"/>
  <c r="BS26" i="7"/>
  <c r="BT26" i="7" s="1"/>
  <c r="BP26" i="7"/>
  <c r="BQ26" i="7" s="1"/>
  <c r="BU25" i="7"/>
  <c r="BS25" i="7"/>
  <c r="BP25" i="7"/>
  <c r="BQ25" i="7" s="1"/>
  <c r="BU24" i="7"/>
  <c r="BS24" i="7"/>
  <c r="BT24" i="7" s="1"/>
  <c r="BP24" i="7"/>
  <c r="BU23" i="7"/>
  <c r="BS23" i="7"/>
  <c r="BP23" i="7"/>
  <c r="BQ23" i="7" s="1"/>
  <c r="BU22" i="7"/>
  <c r="BS22" i="7"/>
  <c r="BT22" i="7" s="1"/>
  <c r="BP22" i="7"/>
  <c r="BQ22" i="7" s="1"/>
  <c r="BU21" i="7"/>
  <c r="BS21" i="7"/>
  <c r="BT21" i="7" s="1"/>
  <c r="BP21" i="7"/>
  <c r="BV21" i="7" s="1"/>
  <c r="BU20" i="7"/>
  <c r="BS20" i="7"/>
  <c r="BT20" i="7" s="1"/>
  <c r="BP20" i="7"/>
  <c r="BQ20" i="7" s="1"/>
  <c r="BS17" i="7"/>
  <c r="BR17" i="7"/>
  <c r="BP17" i="7"/>
  <c r="BO17" i="7"/>
  <c r="BV16" i="7"/>
  <c r="BU16" i="7"/>
  <c r="BW16" i="7" s="1"/>
  <c r="BT16" i="7"/>
  <c r="BQ16" i="7"/>
  <c r="BV15" i="7"/>
  <c r="BU15" i="7"/>
  <c r="BT15" i="7"/>
  <c r="BQ15" i="7"/>
  <c r="BV14" i="7"/>
  <c r="BU14" i="7"/>
  <c r="BW14" i="7" s="1"/>
  <c r="BT14" i="7"/>
  <c r="BQ14" i="7"/>
  <c r="BV13" i="7"/>
  <c r="BU13" i="7"/>
  <c r="BQ13" i="7"/>
  <c r="BV12" i="7"/>
  <c r="BU12" i="7"/>
  <c r="BV11" i="7"/>
  <c r="BU11" i="7"/>
  <c r="BQ11" i="7"/>
  <c r="BV10" i="7"/>
  <c r="BU10" i="7"/>
  <c r="BW10" i="7" s="1"/>
  <c r="BT10" i="7"/>
  <c r="BQ10" i="7"/>
  <c r="BV9" i="7"/>
  <c r="BU9" i="7"/>
  <c r="BT9" i="7"/>
  <c r="BQ9" i="7"/>
  <c r="BV8" i="7"/>
  <c r="BU8" i="7"/>
  <c r="BT8" i="7"/>
  <c r="BQ8" i="7"/>
  <c r="BD24" i="3"/>
  <c r="BE23" i="3"/>
  <c r="BE22" i="3"/>
  <c r="BD19" i="3"/>
  <c r="BE18" i="3"/>
  <c r="BE17" i="3"/>
  <c r="BD14" i="3"/>
  <c r="BE13" i="3"/>
  <c r="BE12" i="3"/>
  <c r="BD9" i="3"/>
  <c r="BL27" i="2"/>
  <c r="BN27" i="2" s="1"/>
  <c r="BL51" i="2"/>
  <c r="BM50" i="2"/>
  <c r="BN50" i="2" s="1"/>
  <c r="BM49" i="2"/>
  <c r="BN49" i="2" s="1"/>
  <c r="BM48" i="2"/>
  <c r="BN48" i="2" s="1"/>
  <c r="BM47" i="2"/>
  <c r="BN47" i="2" s="1"/>
  <c r="BM46" i="2"/>
  <c r="BN46" i="2" s="1"/>
  <c r="BM45" i="2"/>
  <c r="BN45" i="2" s="1"/>
  <c r="BM44" i="2"/>
  <c r="BN44" i="2" s="1"/>
  <c r="BM43" i="2"/>
  <c r="BN43" i="2" s="1"/>
  <c r="BM42" i="2"/>
  <c r="BM51" i="2" s="1"/>
  <c r="BL39" i="2"/>
  <c r="BM38" i="2"/>
  <c r="BN38" i="2" s="1"/>
  <c r="BM37" i="2"/>
  <c r="BN37" i="2" s="1"/>
  <c r="BM36" i="2"/>
  <c r="BN36" i="2" s="1"/>
  <c r="BM35" i="2"/>
  <c r="BN35" i="2" s="1"/>
  <c r="BM34" i="2"/>
  <c r="BN34" i="2" s="1"/>
  <c r="BM33" i="2"/>
  <c r="BM32" i="2"/>
  <c r="BN32" i="2" s="1"/>
  <c r="BM31" i="2"/>
  <c r="BN31" i="2" s="1"/>
  <c r="BM30" i="2"/>
  <c r="BN30" i="2" s="1"/>
  <c r="BM27" i="2"/>
  <c r="BN26" i="2"/>
  <c r="BN25" i="2"/>
  <c r="BN24" i="2"/>
  <c r="BN23" i="2"/>
  <c r="BN22" i="2"/>
  <c r="BN21" i="2"/>
  <c r="BN20" i="2"/>
  <c r="BN19" i="2"/>
  <c r="BN18" i="2"/>
  <c r="AC5" i="4"/>
  <c r="BH12" i="7"/>
  <c r="BF51" i="2"/>
  <c r="BH50" i="2"/>
  <c r="BG50" i="2"/>
  <c r="BH49" i="2"/>
  <c r="BG49" i="2"/>
  <c r="BG48" i="2"/>
  <c r="BH48" i="2" s="1"/>
  <c r="BG47" i="2"/>
  <c r="BH47" i="2" s="1"/>
  <c r="BH46" i="2"/>
  <c r="BG46" i="2"/>
  <c r="BH45" i="2"/>
  <c r="BG45" i="2"/>
  <c r="BG44" i="2"/>
  <c r="BH44" i="2" s="1"/>
  <c r="BG43" i="2"/>
  <c r="BH43" i="2" s="1"/>
  <c r="BH42" i="2"/>
  <c r="BG42" i="2"/>
  <c r="BG51" i="2" s="1"/>
  <c r="BH51" i="2" s="1"/>
  <c r="BF39" i="2"/>
  <c r="BH38" i="2"/>
  <c r="BG38" i="2"/>
  <c r="BG37" i="2"/>
  <c r="BH37" i="2" s="1"/>
  <c r="BG36" i="2"/>
  <c r="BH36" i="2" s="1"/>
  <c r="BG35" i="2"/>
  <c r="BH35" i="2" s="1"/>
  <c r="BH34" i="2"/>
  <c r="BG34" i="2"/>
  <c r="BG33" i="2"/>
  <c r="BH33" i="2" s="1"/>
  <c r="BG32" i="2"/>
  <c r="BH32" i="2" s="1"/>
  <c r="BG31" i="2"/>
  <c r="BH31" i="2" s="1"/>
  <c r="BH30" i="2"/>
  <c r="BG30" i="2"/>
  <c r="BG39" i="2" s="1"/>
  <c r="BH39" i="2" s="1"/>
  <c r="BG27" i="2"/>
  <c r="BF27" i="2"/>
  <c r="BH27" i="2" s="1"/>
  <c r="BH26" i="2"/>
  <c r="BH25" i="2"/>
  <c r="BH24" i="2"/>
  <c r="BH23" i="2"/>
  <c r="BH22" i="2"/>
  <c r="BH21" i="2"/>
  <c r="BH20" i="2"/>
  <c r="BH19" i="2"/>
  <c r="BH18" i="2"/>
  <c r="AZ24" i="3"/>
  <c r="BA24" i="3" s="1"/>
  <c r="BA23" i="3"/>
  <c r="BA22" i="3"/>
  <c r="AZ19" i="3"/>
  <c r="BA18" i="3"/>
  <c r="BA17" i="3"/>
  <c r="AZ14" i="3"/>
  <c r="BA14" i="3" s="1"/>
  <c r="BA13" i="3"/>
  <c r="BA12" i="3"/>
  <c r="AZ9" i="3"/>
  <c r="BA19" i="3" s="1"/>
  <c r="AB11" i="4"/>
  <c r="Z11" i="4"/>
  <c r="Z9" i="4"/>
  <c r="Z7" i="4"/>
  <c r="Z5" i="4"/>
  <c r="AE6" i="5"/>
  <c r="AE6" i="6"/>
  <c r="AZ41" i="7"/>
  <c r="AW41" i="7"/>
  <c r="BC40" i="7"/>
  <c r="BA40" i="7"/>
  <c r="BB40" i="7" s="1"/>
  <c r="AX40" i="7"/>
  <c r="AY40" i="7" s="1"/>
  <c r="BC39" i="7"/>
  <c r="BA39" i="7"/>
  <c r="BB39" i="7" s="1"/>
  <c r="AX39" i="7"/>
  <c r="AY39" i="7" s="1"/>
  <c r="BC38" i="7"/>
  <c r="BA38" i="7"/>
  <c r="BD38" i="7" s="1"/>
  <c r="AX38" i="7"/>
  <c r="AY38" i="7" s="1"/>
  <c r="BC37" i="7"/>
  <c r="BA37" i="7"/>
  <c r="BB37" i="7" s="1"/>
  <c r="AX37" i="7"/>
  <c r="AY37" i="7" s="1"/>
  <c r="BC36" i="7"/>
  <c r="BA36" i="7"/>
  <c r="BD36" i="7" s="1"/>
  <c r="BE36" i="7" s="1"/>
  <c r="AX36" i="7"/>
  <c r="BC35" i="7"/>
  <c r="BA35" i="7"/>
  <c r="BB35" i="7" s="1"/>
  <c r="AX35" i="7"/>
  <c r="AY35" i="7" s="1"/>
  <c r="BC34" i="7"/>
  <c r="BA34" i="7"/>
  <c r="BD34" i="7" s="1"/>
  <c r="AX34" i="7"/>
  <c r="AY34" i="7" s="1"/>
  <c r="BC33" i="7"/>
  <c r="BA33" i="7"/>
  <c r="BD33" i="7" s="1"/>
  <c r="AX33" i="7"/>
  <c r="AY33" i="7" s="1"/>
  <c r="BC32" i="7"/>
  <c r="BA32" i="7"/>
  <c r="AX32" i="7"/>
  <c r="AZ29" i="7"/>
  <c r="AW29" i="7"/>
  <c r="BC28" i="7"/>
  <c r="BA28" i="7"/>
  <c r="BD28" i="7" s="1"/>
  <c r="AX28" i="7"/>
  <c r="AY28" i="7" s="1"/>
  <c r="BC27" i="7"/>
  <c r="BA27" i="7"/>
  <c r="AX27" i="7"/>
  <c r="AY27" i="7" s="1"/>
  <c r="BC26" i="7"/>
  <c r="BA26" i="7"/>
  <c r="AX26" i="7"/>
  <c r="AY26" i="7" s="1"/>
  <c r="BC25" i="7"/>
  <c r="BA25" i="7"/>
  <c r="AX25" i="7"/>
  <c r="AY25" i="7" s="1"/>
  <c r="BC24" i="7"/>
  <c r="BA24" i="7"/>
  <c r="AX24" i="7"/>
  <c r="BC23" i="7"/>
  <c r="BA23" i="7"/>
  <c r="BD23" i="7" s="1"/>
  <c r="AX23" i="7"/>
  <c r="AY23" i="7" s="1"/>
  <c r="BC22" i="7"/>
  <c r="BA22" i="7"/>
  <c r="BD22" i="7" s="1"/>
  <c r="AX22" i="7"/>
  <c r="AY22" i="7" s="1"/>
  <c r="BC21" i="7"/>
  <c r="BA21" i="7"/>
  <c r="BB21" i="7" s="1"/>
  <c r="AX21" i="7"/>
  <c r="AY21" i="7" s="1"/>
  <c r="BC20" i="7"/>
  <c r="BA20" i="7"/>
  <c r="BB20" i="7" s="1"/>
  <c r="AY20" i="7"/>
  <c r="AX20" i="7"/>
  <c r="BA17" i="7"/>
  <c r="AZ17" i="7"/>
  <c r="BB17" i="7" s="1"/>
  <c r="AX17" i="7"/>
  <c r="AW17" i="7"/>
  <c r="AY17" i="7" s="1"/>
  <c r="BD16" i="7"/>
  <c r="BC16" i="7"/>
  <c r="BB16" i="7"/>
  <c r="AY16" i="7"/>
  <c r="BD15" i="7"/>
  <c r="BC15" i="7"/>
  <c r="BE15" i="7" s="1"/>
  <c r="BB15" i="7"/>
  <c r="AY15" i="7"/>
  <c r="BD14" i="7"/>
  <c r="BC14" i="7"/>
  <c r="BB14" i="7"/>
  <c r="AY14" i="7"/>
  <c r="BD13" i="7"/>
  <c r="BC13" i="7"/>
  <c r="BE13" i="7" s="1"/>
  <c r="BB13" i="7"/>
  <c r="AY13" i="7"/>
  <c r="BD12" i="7"/>
  <c r="BE12" i="7" s="1"/>
  <c r="BC12" i="7"/>
  <c r="BB12" i="7"/>
  <c r="BD11" i="7"/>
  <c r="BC11" i="7"/>
  <c r="BE11" i="7" s="1"/>
  <c r="BB11" i="7"/>
  <c r="AY11" i="7"/>
  <c r="BD10" i="7"/>
  <c r="BC10" i="7"/>
  <c r="BB10" i="7"/>
  <c r="AY10" i="7"/>
  <c r="BD9" i="7"/>
  <c r="BC9" i="7"/>
  <c r="BE9" i="7" s="1"/>
  <c r="BB9" i="7"/>
  <c r="AY9" i="7"/>
  <c r="BD8" i="7"/>
  <c r="BD17" i="7" s="1"/>
  <c r="BC8" i="7"/>
  <c r="BB8" i="7"/>
  <c r="AY8" i="7"/>
  <c r="BJ43" i="2"/>
  <c r="BJ44" i="2"/>
  <c r="BJ45" i="2"/>
  <c r="BJ46" i="2"/>
  <c r="BJ47" i="2"/>
  <c r="BJ48" i="2"/>
  <c r="BJ49" i="2"/>
  <c r="BJ50" i="2"/>
  <c r="BJ42" i="2"/>
  <c r="BJ31" i="2"/>
  <c r="BJ32" i="2"/>
  <c r="BJ33" i="2"/>
  <c r="BJ34" i="2"/>
  <c r="BJ35" i="2"/>
  <c r="BJ36" i="2"/>
  <c r="BJ37" i="2"/>
  <c r="BJ38" i="2"/>
  <c r="BJ30" i="2"/>
  <c r="AF11" i="4" l="1"/>
  <c r="BT17" i="7"/>
  <c r="BW11" i="7"/>
  <c r="BT28" i="7"/>
  <c r="BW28" i="7"/>
  <c r="BV40" i="7"/>
  <c r="BW40" i="7" s="1"/>
  <c r="BW15" i="7"/>
  <c r="BW12" i="7"/>
  <c r="BQ17" i="7"/>
  <c r="BW9" i="7"/>
  <c r="BV33" i="7"/>
  <c r="BW33" i="7" s="1"/>
  <c r="BV38" i="7"/>
  <c r="BW38" i="7" s="1"/>
  <c r="BP41" i="7"/>
  <c r="BQ41" i="7" s="1"/>
  <c r="BV39" i="7"/>
  <c r="BW39" i="7" s="1"/>
  <c r="BV32" i="7"/>
  <c r="BQ21" i="7"/>
  <c r="BV27" i="7"/>
  <c r="BW27" i="7" s="1"/>
  <c r="BV36" i="7"/>
  <c r="BW36" i="7" s="1"/>
  <c r="BV24" i="7"/>
  <c r="BW24" i="7" s="1"/>
  <c r="BV26" i="7"/>
  <c r="BW26" i="7" s="1"/>
  <c r="BW21" i="7"/>
  <c r="BV37" i="7"/>
  <c r="BW37" i="7" s="1"/>
  <c r="BU41" i="7"/>
  <c r="BU29" i="7"/>
  <c r="BU17" i="7"/>
  <c r="BW8" i="7"/>
  <c r="BW13" i="7"/>
  <c r="BQ32" i="7"/>
  <c r="BT37" i="7"/>
  <c r="BV35" i="7"/>
  <c r="BW35" i="7" s="1"/>
  <c r="BV23" i="7"/>
  <c r="BW23" i="7" s="1"/>
  <c r="BT32" i="7"/>
  <c r="BT39" i="7"/>
  <c r="BV25" i="7"/>
  <c r="BW25" i="7" s="1"/>
  <c r="BP29" i="7"/>
  <c r="BQ29" i="7" s="1"/>
  <c r="BV20" i="7"/>
  <c r="BS41" i="7"/>
  <c r="BT41" i="7" s="1"/>
  <c r="BS29" i="7"/>
  <c r="BT29" i="7" s="1"/>
  <c r="BV34" i="7"/>
  <c r="BW34" i="7" s="1"/>
  <c r="BV22" i="7"/>
  <c r="BW22" i="7" s="1"/>
  <c r="BT38" i="7"/>
  <c r="BV17" i="7"/>
  <c r="BT27" i="7"/>
  <c r="BE24" i="3"/>
  <c r="BE14" i="3"/>
  <c r="BE19" i="3"/>
  <c r="BN51" i="2"/>
  <c r="BM39" i="2"/>
  <c r="BN39" i="2" s="1"/>
  <c r="BN33" i="2"/>
  <c r="BN42" i="2"/>
  <c r="BB34" i="7"/>
  <c r="BE34" i="7"/>
  <c r="BE10" i="7"/>
  <c r="BB23" i="7"/>
  <c r="BD26" i="7"/>
  <c r="BE22" i="7"/>
  <c r="BE33" i="7"/>
  <c r="BD40" i="7"/>
  <c r="BE40" i="7" s="1"/>
  <c r="BE8" i="7"/>
  <c r="BE14" i="7"/>
  <c r="AX29" i="7"/>
  <c r="AY29" i="7" s="1"/>
  <c r="BA41" i="7"/>
  <c r="BB41" i="7" s="1"/>
  <c r="BE16" i="7"/>
  <c r="BE23" i="7"/>
  <c r="BC41" i="7"/>
  <c r="BB22" i="7"/>
  <c r="BC29" i="7"/>
  <c r="BD24" i="7"/>
  <c r="BE24" i="7" s="1"/>
  <c r="BB33" i="7"/>
  <c r="AX41" i="7"/>
  <c r="AY41" i="7" s="1"/>
  <c r="BD39" i="7"/>
  <c r="BE39" i="7" s="1"/>
  <c r="BD27" i="7"/>
  <c r="BE27" i="7" s="1"/>
  <c r="BD25" i="7"/>
  <c r="BE25" i="7" s="1"/>
  <c r="AY32" i="7"/>
  <c r="BD35" i="7"/>
  <c r="BE35" i="7" s="1"/>
  <c r="AC11" i="4"/>
  <c r="BE26" i="7"/>
  <c r="BE28" i="7"/>
  <c r="BE38" i="7"/>
  <c r="BB28" i="7"/>
  <c r="BB27" i="7"/>
  <c r="BB38" i="7"/>
  <c r="BD21" i="7"/>
  <c r="BE21" i="7" s="1"/>
  <c r="BB26" i="7"/>
  <c r="BD32" i="7"/>
  <c r="BC17" i="7"/>
  <c r="BE17" i="7" s="1"/>
  <c r="BB25" i="7"/>
  <c r="BE32" i="7"/>
  <c r="BB36" i="7"/>
  <c r="BB24" i="7"/>
  <c r="BD37" i="7"/>
  <c r="BE37" i="7" s="1"/>
  <c r="BB32" i="7"/>
  <c r="BD20" i="7"/>
  <c r="BE20" i="7" s="1"/>
  <c r="BA29" i="7"/>
  <c r="BB29" i="7" s="1"/>
  <c r="BJ39" i="2"/>
  <c r="AC6" i="6"/>
  <c r="AC6" i="5"/>
  <c r="W11" i="4"/>
  <c r="W9" i="4"/>
  <c r="W7" i="4"/>
  <c r="W5" i="4"/>
  <c r="AQ41" i="7"/>
  <c r="AN41" i="7"/>
  <c r="AT40" i="7"/>
  <c r="AR40" i="7"/>
  <c r="AS40" i="7" s="1"/>
  <c r="AO40" i="7"/>
  <c r="AP40" i="7" s="1"/>
  <c r="AT39" i="7"/>
  <c r="AR39" i="7"/>
  <c r="AO39" i="7"/>
  <c r="AP39" i="7" s="1"/>
  <c r="AT38" i="7"/>
  <c r="AR38" i="7"/>
  <c r="AS38" i="7" s="1"/>
  <c r="AO38" i="7"/>
  <c r="AP38" i="7" s="1"/>
  <c r="AT37" i="7"/>
  <c r="AR37" i="7"/>
  <c r="AS37" i="7" s="1"/>
  <c r="AO37" i="7"/>
  <c r="AP37" i="7" s="1"/>
  <c r="AT36" i="7"/>
  <c r="AR36" i="7"/>
  <c r="AO36" i="7"/>
  <c r="AP36" i="7" s="1"/>
  <c r="AT35" i="7"/>
  <c r="AR35" i="7"/>
  <c r="AO35" i="7"/>
  <c r="AP35" i="7" s="1"/>
  <c r="AT34" i="7"/>
  <c r="AR34" i="7"/>
  <c r="AO34" i="7"/>
  <c r="AP34" i="7" s="1"/>
  <c r="AT33" i="7"/>
  <c r="AR33" i="7"/>
  <c r="AO33" i="7"/>
  <c r="AP33" i="7" s="1"/>
  <c r="AT32" i="7"/>
  <c r="AR32" i="7"/>
  <c r="AP32" i="7"/>
  <c r="AO32" i="7"/>
  <c r="AQ29" i="7"/>
  <c r="AN29" i="7"/>
  <c r="AT28" i="7"/>
  <c r="AR28" i="7"/>
  <c r="AS28" i="7" s="1"/>
  <c r="AO28" i="7"/>
  <c r="AP28" i="7" s="1"/>
  <c r="AT27" i="7"/>
  <c r="AR27" i="7"/>
  <c r="AO27" i="7"/>
  <c r="AP27" i="7" s="1"/>
  <c r="AT26" i="7"/>
  <c r="AR26" i="7"/>
  <c r="AS26" i="7" s="1"/>
  <c r="AO26" i="7"/>
  <c r="AT25" i="7"/>
  <c r="AR25" i="7"/>
  <c r="AS25" i="7" s="1"/>
  <c r="AO25" i="7"/>
  <c r="AP25" i="7" s="1"/>
  <c r="AT24" i="7"/>
  <c r="AR24" i="7"/>
  <c r="AS24" i="7" s="1"/>
  <c r="AO24" i="7"/>
  <c r="AP24" i="7" s="1"/>
  <c r="AT23" i="7"/>
  <c r="AR23" i="7"/>
  <c r="AO23" i="7"/>
  <c r="AP23" i="7" s="1"/>
  <c r="AT22" i="7"/>
  <c r="AR22" i="7"/>
  <c r="AS22" i="7" s="1"/>
  <c r="AO22" i="7"/>
  <c r="AP22" i="7" s="1"/>
  <c r="AT21" i="7"/>
  <c r="AR21" i="7"/>
  <c r="AO21" i="7"/>
  <c r="AP21" i="7" s="1"/>
  <c r="AT20" i="7"/>
  <c r="AR20" i="7"/>
  <c r="AS20" i="7" s="1"/>
  <c r="AO20" i="7"/>
  <c r="AP20" i="7" s="1"/>
  <c r="AR17" i="7"/>
  <c r="AQ17" i="7"/>
  <c r="AO17" i="7"/>
  <c r="AN17" i="7"/>
  <c r="AP17" i="7" s="1"/>
  <c r="AU16" i="7"/>
  <c r="AT16" i="7"/>
  <c r="AS16" i="7"/>
  <c r="AP16" i="7"/>
  <c r="AU15" i="7"/>
  <c r="AT15" i="7"/>
  <c r="AS15" i="7"/>
  <c r="AP15" i="7"/>
  <c r="AU14" i="7"/>
  <c r="AV14" i="7" s="1"/>
  <c r="AT14" i="7"/>
  <c r="AS14" i="7"/>
  <c r="AP14" i="7"/>
  <c r="AU13" i="7"/>
  <c r="AT13" i="7"/>
  <c r="AS13" i="7"/>
  <c r="AP13" i="7"/>
  <c r="AU12" i="7"/>
  <c r="AT12" i="7"/>
  <c r="AS12" i="7"/>
  <c r="AP12" i="7"/>
  <c r="AU11" i="7"/>
  <c r="AT11" i="7"/>
  <c r="AS11" i="7"/>
  <c r="AP11" i="7"/>
  <c r="AU10" i="7"/>
  <c r="AT10" i="7"/>
  <c r="AS10" i="7"/>
  <c r="AP10" i="7"/>
  <c r="AU9" i="7"/>
  <c r="AT9" i="7"/>
  <c r="AS9" i="7"/>
  <c r="AP9" i="7"/>
  <c r="AU8" i="7"/>
  <c r="AT8" i="7"/>
  <c r="AS8" i="7"/>
  <c r="AP8" i="7"/>
  <c r="AX24" i="3"/>
  <c r="AY23" i="3"/>
  <c r="AY22" i="3"/>
  <c r="AX19" i="3"/>
  <c r="AY18" i="3"/>
  <c r="AY17" i="3"/>
  <c r="AX14" i="3"/>
  <c r="AY13" i="3"/>
  <c r="AX9" i="3"/>
  <c r="AY19" i="3" s="1"/>
  <c r="BD51" i="2"/>
  <c r="BC51" i="2"/>
  <c r="BE50" i="2"/>
  <c r="BE49" i="2"/>
  <c r="BE48" i="2"/>
  <c r="BE47" i="2"/>
  <c r="BE46" i="2"/>
  <c r="BE45" i="2"/>
  <c r="BE44" i="2"/>
  <c r="BE43" i="2"/>
  <c r="BE42" i="2"/>
  <c r="BD39" i="2"/>
  <c r="BC39" i="2"/>
  <c r="BE38" i="2"/>
  <c r="BE37" i="2"/>
  <c r="BE36" i="2"/>
  <c r="BE35" i="2"/>
  <c r="BE34" i="2"/>
  <c r="BE33" i="2"/>
  <c r="BE32" i="2"/>
  <c r="BE31" i="2"/>
  <c r="BE30" i="2"/>
  <c r="BD27" i="2"/>
  <c r="BC27" i="2"/>
  <c r="BE26" i="2"/>
  <c r="BE25" i="2"/>
  <c r="BE24" i="2"/>
  <c r="BE23" i="2"/>
  <c r="BE22" i="2"/>
  <c r="BE21" i="2"/>
  <c r="BE20" i="2"/>
  <c r="BE19" i="2"/>
  <c r="BE18" i="2"/>
  <c r="BW17" i="7" l="1"/>
  <c r="BV41" i="7"/>
  <c r="BW41" i="7" s="1"/>
  <c r="BW32" i="7"/>
  <c r="BV29" i="7"/>
  <c r="BW29" i="7" s="1"/>
  <c r="BW20" i="7"/>
  <c r="AS17" i="7"/>
  <c r="AU35" i="7"/>
  <c r="AV35" i="7" s="1"/>
  <c r="AV9" i="7"/>
  <c r="AV13" i="7"/>
  <c r="AU39" i="7"/>
  <c r="AU34" i="7"/>
  <c r="AV34" i="7" s="1"/>
  <c r="BE39" i="2"/>
  <c r="AY24" i="3"/>
  <c r="AV15" i="7"/>
  <c r="AU21" i="7"/>
  <c r="AU27" i="7"/>
  <c r="AU36" i="7"/>
  <c r="AV36" i="7" s="1"/>
  <c r="AU23" i="7"/>
  <c r="AV23" i="7" s="1"/>
  <c r="AU26" i="7"/>
  <c r="AV26" i="7" s="1"/>
  <c r="AU32" i="7"/>
  <c r="AV32" i="7" s="1"/>
  <c r="BD29" i="7"/>
  <c r="BE29" i="7" s="1"/>
  <c r="AV12" i="7"/>
  <c r="AU20" i="7"/>
  <c r="AV20" i="7" s="1"/>
  <c r="AU22" i="7"/>
  <c r="AV22" i="7" s="1"/>
  <c r="AU24" i="7"/>
  <c r="AP26" i="7"/>
  <c r="BD41" i="7"/>
  <c r="BE41" i="7" s="1"/>
  <c r="BE27" i="2"/>
  <c r="AO41" i="7"/>
  <c r="AP41" i="7" s="1"/>
  <c r="AR41" i="7"/>
  <c r="AS41" i="7" s="1"/>
  <c r="AV11" i="7"/>
  <c r="AY14" i="3"/>
  <c r="AV24" i="7"/>
  <c r="AU28" i="7"/>
  <c r="AV28" i="7" s="1"/>
  <c r="AS32" i="7"/>
  <c r="AS34" i="7"/>
  <c r="AS36" i="7"/>
  <c r="AU40" i="7"/>
  <c r="AV40" i="7" s="1"/>
  <c r="AV8" i="7"/>
  <c r="AU17" i="7"/>
  <c r="AU38" i="7"/>
  <c r="AV38" i="7" s="1"/>
  <c r="BE51" i="2"/>
  <c r="AV10" i="7"/>
  <c r="AO29" i="7"/>
  <c r="AP29" i="7" s="1"/>
  <c r="AU33" i="7"/>
  <c r="AV33" i="7" s="1"/>
  <c r="AV16" i="7"/>
  <c r="AV27" i="7"/>
  <c r="AV39" i="7"/>
  <c r="AV21" i="7"/>
  <c r="AV37" i="7"/>
  <c r="AS23" i="7"/>
  <c r="AU25" i="7"/>
  <c r="AV25" i="7" s="1"/>
  <c r="AS35" i="7"/>
  <c r="AU37" i="7"/>
  <c r="AS21" i="7"/>
  <c r="AS33" i="7"/>
  <c r="AR29" i="7"/>
  <c r="AS29" i="7" s="1"/>
  <c r="AS27" i="7"/>
  <c r="AS39" i="7"/>
  <c r="AT17" i="7"/>
  <c r="AT29" i="7"/>
  <c r="AT41" i="7"/>
  <c r="AA6" i="6"/>
  <c r="AG6" i="6"/>
  <c r="AA6" i="5"/>
  <c r="T11" i="4"/>
  <c r="T9" i="4"/>
  <c r="T7" i="4"/>
  <c r="T5" i="4"/>
  <c r="AH41" i="7"/>
  <c r="AE41" i="7"/>
  <c r="AK40" i="7"/>
  <c r="AI40" i="7"/>
  <c r="AF40" i="7"/>
  <c r="AG40" i="7" s="1"/>
  <c r="AK39" i="7"/>
  <c r="AI39" i="7"/>
  <c r="AF39" i="7"/>
  <c r="AG39" i="7" s="1"/>
  <c r="AK38" i="7"/>
  <c r="AI38" i="7"/>
  <c r="AF38" i="7"/>
  <c r="AG38" i="7" s="1"/>
  <c r="AK37" i="7"/>
  <c r="AI37" i="7"/>
  <c r="AJ37" i="7" s="1"/>
  <c r="AF37" i="7"/>
  <c r="AG37" i="7" s="1"/>
  <c r="AK36" i="7"/>
  <c r="AI36" i="7"/>
  <c r="AF36" i="7"/>
  <c r="AG36" i="7" s="1"/>
  <c r="AK35" i="7"/>
  <c r="AI35" i="7"/>
  <c r="AJ35" i="7" s="1"/>
  <c r="AF35" i="7"/>
  <c r="AG35" i="7" s="1"/>
  <c r="AK34" i="7"/>
  <c r="AI34" i="7"/>
  <c r="AF34" i="7"/>
  <c r="AG34" i="7" s="1"/>
  <c r="AK33" i="7"/>
  <c r="AI33" i="7"/>
  <c r="AF33" i="7"/>
  <c r="AG33" i="7" s="1"/>
  <c r="AK32" i="7"/>
  <c r="AI32" i="7"/>
  <c r="AF32" i="7"/>
  <c r="AK28" i="7"/>
  <c r="AI28" i="7"/>
  <c r="AF28" i="7"/>
  <c r="AG28" i="7" s="1"/>
  <c r="AK27" i="7"/>
  <c r="AI27" i="7"/>
  <c r="AF27" i="7"/>
  <c r="AG27" i="7" s="1"/>
  <c r="AK26" i="7"/>
  <c r="AI26" i="7"/>
  <c r="AF26" i="7"/>
  <c r="AG26" i="7" s="1"/>
  <c r="AI25" i="7"/>
  <c r="AH25" i="7"/>
  <c r="AF25" i="7"/>
  <c r="AE25" i="7"/>
  <c r="AK24" i="7"/>
  <c r="AI24" i="7"/>
  <c r="AF24" i="7"/>
  <c r="AG24" i="7" s="1"/>
  <c r="AK23" i="7"/>
  <c r="AI23" i="7"/>
  <c r="AJ23" i="7" s="1"/>
  <c r="AF23" i="7"/>
  <c r="AG23" i="7" s="1"/>
  <c r="AK22" i="7"/>
  <c r="AI22" i="7"/>
  <c r="AF22" i="7"/>
  <c r="AG22" i="7" s="1"/>
  <c r="AK21" i="7"/>
  <c r="AI21" i="7"/>
  <c r="AJ21" i="7" s="1"/>
  <c r="AF21" i="7"/>
  <c r="AG21" i="7" s="1"/>
  <c r="AI20" i="7"/>
  <c r="AH20" i="7"/>
  <c r="AF20" i="7"/>
  <c r="AE20" i="7"/>
  <c r="AE29" i="7" s="1"/>
  <c r="AI17" i="7"/>
  <c r="AH17" i="7"/>
  <c r="AJ17" i="7" s="1"/>
  <c r="AF17" i="7"/>
  <c r="AE17" i="7"/>
  <c r="AL16" i="7"/>
  <c r="AK16" i="7"/>
  <c r="AJ16" i="7"/>
  <c r="AG16" i="7"/>
  <c r="AL15" i="7"/>
  <c r="AK15" i="7"/>
  <c r="AM15" i="7" s="1"/>
  <c r="AJ15" i="7"/>
  <c r="AG15" i="7"/>
  <c r="AL14" i="7"/>
  <c r="AK14" i="7"/>
  <c r="AJ14" i="7"/>
  <c r="AG14" i="7"/>
  <c r="AL13" i="7"/>
  <c r="AK13" i="7"/>
  <c r="AJ13" i="7"/>
  <c r="AG13" i="7"/>
  <c r="AL12" i="7"/>
  <c r="AK12" i="7"/>
  <c r="AJ12" i="7"/>
  <c r="AG12" i="7"/>
  <c r="AL11" i="7"/>
  <c r="AK11" i="7"/>
  <c r="AM11" i="7" s="1"/>
  <c r="AJ11" i="7"/>
  <c r="AG11" i="7"/>
  <c r="AL10" i="7"/>
  <c r="AK10" i="7"/>
  <c r="AJ10" i="7"/>
  <c r="AG10" i="7"/>
  <c r="AL9" i="7"/>
  <c r="AK9" i="7"/>
  <c r="AJ9" i="7"/>
  <c r="AG9" i="7"/>
  <c r="AL8" i="7"/>
  <c r="AK8" i="7"/>
  <c r="AJ8" i="7"/>
  <c r="AG8" i="7"/>
  <c r="BB49" i="2"/>
  <c r="BB50" i="2"/>
  <c r="AV24" i="3"/>
  <c r="AW23" i="3"/>
  <c r="AW22" i="3"/>
  <c r="AV18" i="3"/>
  <c r="AV17" i="3"/>
  <c r="AW17" i="3" s="1"/>
  <c r="AV14" i="3"/>
  <c r="AW13" i="3"/>
  <c r="AW12" i="3"/>
  <c r="AV9" i="3"/>
  <c r="BK18" i="2"/>
  <c r="BB26" i="2"/>
  <c r="BI27" i="2"/>
  <c r="BJ27" i="2"/>
  <c r="BA51" i="2"/>
  <c r="AZ51" i="2"/>
  <c r="BB48" i="2"/>
  <c r="BB47" i="2"/>
  <c r="BB46" i="2"/>
  <c r="BB45" i="2"/>
  <c r="BB44" i="2"/>
  <c r="BB43" i="2"/>
  <c r="BB42" i="2"/>
  <c r="BA39" i="2"/>
  <c r="AZ39" i="2"/>
  <c r="BB38" i="2"/>
  <c r="BB37" i="2"/>
  <c r="BB36" i="2"/>
  <c r="BB35" i="2"/>
  <c r="BB34" i="2"/>
  <c r="BB33" i="2"/>
  <c r="BB32" i="2"/>
  <c r="BB31" i="2"/>
  <c r="BB30" i="2"/>
  <c r="AZ27" i="2"/>
  <c r="BB27" i="2" s="1"/>
  <c r="BB25" i="2"/>
  <c r="BB24" i="2"/>
  <c r="BB23" i="2"/>
  <c r="BB22" i="2"/>
  <c r="BB21" i="2"/>
  <c r="BB20" i="2"/>
  <c r="BB19" i="2"/>
  <c r="BB18" i="2"/>
  <c r="AG17" i="7" l="1"/>
  <c r="AL26" i="7"/>
  <c r="AU29" i="7"/>
  <c r="AM12" i="7"/>
  <c r="AM14" i="7"/>
  <c r="AM16" i="7"/>
  <c r="AH29" i="7"/>
  <c r="AF41" i="7"/>
  <c r="AG41" i="7" s="1"/>
  <c r="AG25" i="7"/>
  <c r="AU41" i="7"/>
  <c r="AV17" i="7"/>
  <c r="AL22" i="7"/>
  <c r="AV41" i="7"/>
  <c r="AL25" i="7"/>
  <c r="AL36" i="7"/>
  <c r="AM36" i="7" s="1"/>
  <c r="AV29" i="7"/>
  <c r="AJ22" i="7"/>
  <c r="AL39" i="7"/>
  <c r="AM39" i="7" s="1"/>
  <c r="AG32" i="7"/>
  <c r="AV19" i="3"/>
  <c r="AW19" i="3" s="1"/>
  <c r="AW24" i="3"/>
  <c r="AL21" i="7"/>
  <c r="AM21" i="7" s="1"/>
  <c r="AJ36" i="7"/>
  <c r="AM9" i="7"/>
  <c r="AL35" i="7"/>
  <c r="AM35" i="7" s="1"/>
  <c r="AL24" i="7"/>
  <c r="AM24" i="7" s="1"/>
  <c r="AL17" i="7"/>
  <c r="AM10" i="7"/>
  <c r="AL27" i="7"/>
  <c r="AM27" i="7" s="1"/>
  <c r="AL32" i="7"/>
  <c r="AM32" i="7" s="1"/>
  <c r="AL34" i="7"/>
  <c r="AM34" i="7" s="1"/>
  <c r="AL37" i="7"/>
  <c r="AM37" i="7" s="1"/>
  <c r="AK25" i="7"/>
  <c r="AJ34" i="7"/>
  <c r="AI29" i="7"/>
  <c r="AL23" i="7"/>
  <c r="AM23" i="7" s="1"/>
  <c r="AL40" i="7"/>
  <c r="AM40" i="7" s="1"/>
  <c r="AM13" i="7"/>
  <c r="AJ20" i="7"/>
  <c r="AL38" i="7"/>
  <c r="AM38" i="7" s="1"/>
  <c r="AK20" i="7"/>
  <c r="AL28" i="7"/>
  <c r="AM28" i="7" s="1"/>
  <c r="AL33" i="7"/>
  <c r="AM33" i="7" s="1"/>
  <c r="AM8" i="7"/>
  <c r="AM22" i="7"/>
  <c r="AM26" i="7"/>
  <c r="AW14" i="3"/>
  <c r="BB51" i="2"/>
  <c r="BB39" i="2"/>
  <c r="AF29" i="7"/>
  <c r="AG29" i="7" s="1"/>
  <c r="AJ33" i="7"/>
  <c r="AL20" i="7"/>
  <c r="AJ28" i="7"/>
  <c r="AJ32" i="7"/>
  <c r="AJ40" i="7"/>
  <c r="AI41" i="7"/>
  <c r="AJ41" i="7" s="1"/>
  <c r="AJ27" i="7"/>
  <c r="AJ39" i="7"/>
  <c r="AK17" i="7"/>
  <c r="AJ24" i="7"/>
  <c r="AJ26" i="7"/>
  <c r="AJ38" i="7"/>
  <c r="AK41" i="7"/>
  <c r="AG20" i="7"/>
  <c r="AJ25" i="7"/>
  <c r="BK27" i="2"/>
  <c r="AW18" i="3"/>
  <c r="AM20" i="7" l="1"/>
  <c r="AJ29" i="7"/>
  <c r="AM25" i="7"/>
  <c r="AM17" i="7"/>
  <c r="AK29" i="7"/>
  <c r="AL29" i="7"/>
  <c r="AL41" i="7"/>
  <c r="AM41" i="7" s="1"/>
  <c r="BI29" i="7"/>
  <c r="BB9" i="3"/>
  <c r="BJ40" i="7"/>
  <c r="BK40" i="7" s="1"/>
  <c r="BJ39" i="7"/>
  <c r="BK39" i="7" s="1"/>
  <c r="BJ38" i="7"/>
  <c r="BK38" i="7" s="1"/>
  <c r="BJ37" i="7"/>
  <c r="BK37" i="7" s="1"/>
  <c r="BJ36" i="7"/>
  <c r="BJ35" i="7"/>
  <c r="BK35" i="7" s="1"/>
  <c r="BJ34" i="7"/>
  <c r="BK34" i="7" s="1"/>
  <c r="BJ33" i="7"/>
  <c r="BJ32" i="7"/>
  <c r="BK32" i="7" s="1"/>
  <c r="BG40" i="7"/>
  <c r="BG39" i="7"/>
  <c r="BH39" i="7" s="1"/>
  <c r="BG38" i="7"/>
  <c r="BH38" i="7" s="1"/>
  <c r="BG37" i="7"/>
  <c r="BG36" i="7"/>
  <c r="BH36" i="7" s="1"/>
  <c r="BG35" i="7"/>
  <c r="BH35" i="7" s="1"/>
  <c r="BG34" i="7"/>
  <c r="BH34" i="7" s="1"/>
  <c r="BG33" i="7"/>
  <c r="BG32" i="7"/>
  <c r="BH32" i="7" s="1"/>
  <c r="BJ28" i="7"/>
  <c r="BK28" i="7" s="1"/>
  <c r="BJ27" i="7"/>
  <c r="BK27" i="7" s="1"/>
  <c r="BJ26" i="7"/>
  <c r="BK26" i="7" s="1"/>
  <c r="BJ25" i="7"/>
  <c r="BK25" i="7" s="1"/>
  <c r="BJ24" i="7"/>
  <c r="BJ23" i="7"/>
  <c r="BJ22" i="7"/>
  <c r="BK22" i="7" s="1"/>
  <c r="BJ21" i="7"/>
  <c r="BK21" i="7" s="1"/>
  <c r="BJ20" i="7"/>
  <c r="BG28" i="7"/>
  <c r="BH28" i="7" s="1"/>
  <c r="BG27" i="7"/>
  <c r="BH27" i="7" s="1"/>
  <c r="BG26" i="7"/>
  <c r="BH26" i="7" s="1"/>
  <c r="BG25" i="7"/>
  <c r="BG24" i="7"/>
  <c r="BH24" i="7" s="1"/>
  <c r="BG23" i="7"/>
  <c r="BH23" i="7" s="1"/>
  <c r="BG22" i="7"/>
  <c r="BH22" i="7" s="1"/>
  <c r="BG21" i="7"/>
  <c r="BH21" i="7" s="1"/>
  <c r="BG20" i="7"/>
  <c r="BL40" i="7"/>
  <c r="BL39" i="7"/>
  <c r="BL38" i="7"/>
  <c r="BL37" i="7"/>
  <c r="BL36" i="7"/>
  <c r="BL35" i="7"/>
  <c r="BL34" i="7"/>
  <c r="BL33" i="7"/>
  <c r="BL32" i="7"/>
  <c r="BL28" i="7"/>
  <c r="BL27" i="7"/>
  <c r="BL26" i="7"/>
  <c r="BL25" i="7"/>
  <c r="BL24" i="7"/>
  <c r="BL23" i="7"/>
  <c r="BL22" i="7"/>
  <c r="BL21" i="7"/>
  <c r="BM16" i="7"/>
  <c r="BL16" i="7"/>
  <c r="BM15" i="7"/>
  <c r="BL15" i="7"/>
  <c r="BM14" i="7"/>
  <c r="BL14" i="7"/>
  <c r="BM13" i="7"/>
  <c r="BL13" i="7"/>
  <c r="BM12" i="7"/>
  <c r="BL12" i="7"/>
  <c r="BM11" i="7"/>
  <c r="BL11" i="7"/>
  <c r="BM10" i="7"/>
  <c r="BL10" i="7"/>
  <c r="BM9" i="7"/>
  <c r="BL9" i="7"/>
  <c r="BL8" i="7"/>
  <c r="BM8" i="7"/>
  <c r="AG6" i="5"/>
  <c r="Q11" i="4"/>
  <c r="Q9" i="4"/>
  <c r="Q7" i="4"/>
  <c r="Q5" i="4"/>
  <c r="BI41" i="7"/>
  <c r="BF41" i="7"/>
  <c r="BJ17" i="7"/>
  <c r="BI17" i="7"/>
  <c r="BK16" i="7"/>
  <c r="BK15" i="7"/>
  <c r="BK14" i="7"/>
  <c r="BK13" i="7"/>
  <c r="BK11" i="7"/>
  <c r="BK10" i="7"/>
  <c r="BK9" i="7"/>
  <c r="BK8" i="7"/>
  <c r="BG17" i="7"/>
  <c r="BF17" i="7"/>
  <c r="BH9" i="7"/>
  <c r="BH10" i="7"/>
  <c r="BH11" i="7"/>
  <c r="BH13" i="7"/>
  <c r="BH14" i="7"/>
  <c r="BH15" i="7"/>
  <c r="BH16" i="7"/>
  <c r="BH8" i="7"/>
  <c r="AT18" i="3"/>
  <c r="AU18" i="3" s="1"/>
  <c r="AT17" i="3"/>
  <c r="AT14" i="3"/>
  <c r="AU14" i="3" s="1"/>
  <c r="AU13" i="3"/>
  <c r="AU12" i="3"/>
  <c r="BJ51" i="2"/>
  <c r="BI51" i="2"/>
  <c r="BK50" i="2"/>
  <c r="BK49" i="2"/>
  <c r="BK48" i="2"/>
  <c r="BK47" i="2"/>
  <c r="BK46" i="2"/>
  <c r="BK45" i="2"/>
  <c r="BK44" i="2"/>
  <c r="BK43" i="2"/>
  <c r="BK42" i="2"/>
  <c r="BI39" i="2"/>
  <c r="BK38" i="2"/>
  <c r="BK37" i="2"/>
  <c r="BK36" i="2"/>
  <c r="BK35" i="2"/>
  <c r="BK34" i="2"/>
  <c r="BK33" i="2"/>
  <c r="BK32" i="2"/>
  <c r="BK31" i="2"/>
  <c r="BK30" i="2"/>
  <c r="BK19" i="2"/>
  <c r="BK20" i="2"/>
  <c r="BK21" i="2"/>
  <c r="BK22" i="2"/>
  <c r="BK23" i="2"/>
  <c r="BK24" i="2"/>
  <c r="BK25" i="2"/>
  <c r="BK26" i="2"/>
  <c r="AX51" i="2"/>
  <c r="AW51" i="2"/>
  <c r="AX39" i="2"/>
  <c r="AW39" i="2"/>
  <c r="AX27" i="2"/>
  <c r="AW27" i="2"/>
  <c r="AT19" i="3" l="1"/>
  <c r="AU19" i="3" s="1"/>
  <c r="AM29" i="7"/>
  <c r="BH17" i="7"/>
  <c r="BM25" i="7"/>
  <c r="BN25" i="7" s="1"/>
  <c r="BM24" i="7"/>
  <c r="BN24" i="7" s="1"/>
  <c r="BM34" i="7"/>
  <c r="BN34" i="7" s="1"/>
  <c r="BN13" i="7"/>
  <c r="BN9" i="7"/>
  <c r="BM26" i="7"/>
  <c r="BN26" i="7" s="1"/>
  <c r="BN12" i="7"/>
  <c r="BN14" i="7"/>
  <c r="BM39" i="7"/>
  <c r="BN39" i="7" s="1"/>
  <c r="BH25" i="7"/>
  <c r="BM20" i="7"/>
  <c r="BM28" i="7"/>
  <c r="BN28" i="7" s="1"/>
  <c r="BM38" i="7"/>
  <c r="BN38" i="7" s="1"/>
  <c r="BM27" i="7"/>
  <c r="BN27" i="7" s="1"/>
  <c r="BG41" i="7"/>
  <c r="BH41" i="7" s="1"/>
  <c r="AT23" i="3"/>
  <c r="AU23" i="3" s="1"/>
  <c r="BL17" i="7"/>
  <c r="BM22" i="7"/>
  <c r="BN22" i="7" s="1"/>
  <c r="BM23" i="7"/>
  <c r="BN23" i="7" s="1"/>
  <c r="BN11" i="7"/>
  <c r="BN15" i="7"/>
  <c r="BL41" i="7"/>
  <c r="BF29" i="7"/>
  <c r="BK20" i="7"/>
  <c r="BL20" i="7"/>
  <c r="BL29" i="7" s="1"/>
  <c r="BN16" i="7"/>
  <c r="BN10" i="7"/>
  <c r="BK17" i="7"/>
  <c r="BK51" i="2"/>
  <c r="BK39" i="2"/>
  <c r="BM35" i="7"/>
  <c r="BN35" i="7" s="1"/>
  <c r="BJ29" i="7"/>
  <c r="BK29" i="7" s="1"/>
  <c r="BM21" i="7"/>
  <c r="BN21" i="7" s="1"/>
  <c r="BN8" i="7"/>
  <c r="BJ41" i="7"/>
  <c r="BK41" i="7" s="1"/>
  <c r="BK33" i="7"/>
  <c r="BM40" i="7"/>
  <c r="BN40" i="7" s="1"/>
  <c r="BM33" i="7"/>
  <c r="BN33" i="7" s="1"/>
  <c r="BM37" i="7"/>
  <c r="BN37" i="7" s="1"/>
  <c r="BM36" i="7"/>
  <c r="BN36" i="7" s="1"/>
  <c r="BH40" i="7"/>
  <c r="BH33" i="7"/>
  <c r="BH37" i="7"/>
  <c r="BM32" i="7"/>
  <c r="BN32" i="7" s="1"/>
  <c r="BK23" i="7"/>
  <c r="BG29" i="7"/>
  <c r="BH20" i="7"/>
  <c r="BM17" i="7"/>
  <c r="AU17" i="3"/>
  <c r="AT22" i="3"/>
  <c r="BN17" i="7" l="1"/>
  <c r="BN20" i="7"/>
  <c r="BH29" i="7"/>
  <c r="BM29" i="7"/>
  <c r="BN29" i="7" s="1"/>
  <c r="BM41" i="7"/>
  <c r="BN41" i="7" s="1"/>
  <c r="AU22" i="3"/>
  <c r="AT24" i="3"/>
  <c r="AU24" i="3" s="1"/>
  <c r="E17" i="7"/>
  <c r="D17" i="7"/>
  <c r="E29" i="7"/>
  <c r="D29" i="7"/>
  <c r="E41" i="7"/>
  <c r="D41" i="7"/>
  <c r="BC13" i="3" l="1"/>
  <c r="BC12" i="3"/>
  <c r="BB14" i="3"/>
  <c r="BC14" i="3" s="1"/>
  <c r="BC17" i="3"/>
  <c r="BC23" i="3"/>
  <c r="AC9" i="4"/>
  <c r="AC7" i="4"/>
  <c r="BB24" i="3" l="1"/>
  <c r="BC24" i="3" s="1"/>
  <c r="BB19" i="3"/>
  <c r="BC19" i="3" s="1"/>
  <c r="BC18" i="3"/>
  <c r="AR19" i="3"/>
  <c r="AR18" i="3"/>
  <c r="AR17" i="3"/>
  <c r="BC22" i="3" l="1"/>
  <c r="AD38" i="2"/>
  <c r="AD50" i="2" s="1"/>
  <c r="AD36" i="2"/>
  <c r="AD48" i="2" s="1"/>
  <c r="AD23" i="2"/>
  <c r="AD35" i="2" s="1"/>
  <c r="AD47" i="2" s="1"/>
  <c r="AD21" i="2"/>
  <c r="AD33" i="2" s="1"/>
  <c r="AD45" i="2" s="1"/>
  <c r="AD20" i="2"/>
  <c r="AD32" i="2" s="1"/>
  <c r="AD44" i="2" s="1"/>
  <c r="AD19" i="2"/>
  <c r="AD18" i="2"/>
  <c r="AD30" i="2" s="1"/>
  <c r="AE50" i="2"/>
  <c r="AE47" i="2"/>
  <c r="AE45" i="2"/>
  <c r="AE44" i="2"/>
  <c r="AE43" i="2"/>
  <c r="AE42" i="2"/>
  <c r="AE38" i="2"/>
  <c r="AE35" i="2"/>
  <c r="AE33" i="2"/>
  <c r="AE32" i="2"/>
  <c r="AE31" i="2"/>
  <c r="AE30" i="2"/>
  <c r="AE26" i="2"/>
  <c r="AE23" i="2"/>
  <c r="AE21" i="2"/>
  <c r="AE20" i="2"/>
  <c r="AE19" i="2"/>
  <c r="AE18" i="2"/>
  <c r="AD42" i="2" l="1"/>
  <c r="AE27" i="2"/>
  <c r="AD27" i="2"/>
  <c r="AE51" i="2"/>
  <c r="AD31" i="2"/>
  <c r="AD43" i="2" s="1"/>
  <c r="AE39" i="2"/>
  <c r="O6" i="6"/>
  <c r="M6" i="6"/>
  <c r="K6" i="6"/>
  <c r="I6" i="6"/>
  <c r="G6" i="6"/>
  <c r="E6" i="6"/>
  <c r="O6" i="5"/>
  <c r="M6" i="5"/>
  <c r="K6" i="5"/>
  <c r="I6" i="5"/>
  <c r="G6" i="5"/>
  <c r="E6" i="5"/>
  <c r="AD24" i="3"/>
  <c r="AE23" i="3"/>
  <c r="AD19" i="3"/>
  <c r="AE18" i="3"/>
  <c r="AD14" i="3"/>
  <c r="AE13" i="3"/>
  <c r="AE22" i="3"/>
  <c r="Z18" i="2"/>
  <c r="AD51" i="2" l="1"/>
  <c r="AD39" i="2"/>
  <c r="AD9" i="3"/>
  <c r="AE14" i="3" s="1"/>
  <c r="AE12" i="3"/>
  <c r="AE17" i="3"/>
  <c r="AE19" i="3" l="1"/>
  <c r="AE24" i="3"/>
  <c r="AB19" i="3" l="1"/>
  <c r="AB7" i="3"/>
  <c r="AC22" i="3" s="1"/>
  <c r="AB14" i="3"/>
  <c r="AA15" i="2"/>
  <c r="AB24" i="3"/>
  <c r="AC23" i="3"/>
  <c r="AC18" i="3"/>
  <c r="AC13" i="3"/>
  <c r="Z24" i="3"/>
  <c r="AA24" i="3" s="1"/>
  <c r="AA23" i="3"/>
  <c r="AA22" i="3"/>
  <c r="AA19" i="3"/>
  <c r="AA18" i="3"/>
  <c r="AA17" i="3"/>
  <c r="AA14" i="3"/>
  <c r="AA13" i="3"/>
  <c r="AA12" i="3"/>
  <c r="Z21" i="2"/>
  <c r="Z23" i="2"/>
  <c r="Z24" i="2"/>
  <c r="Z26" i="2"/>
  <c r="Z27" i="2"/>
  <c r="Z19" i="2"/>
  <c r="Z31" i="2"/>
  <c r="Z33" i="2"/>
  <c r="Z35" i="2"/>
  <c r="Z36" i="2"/>
  <c r="Z38" i="2"/>
  <c r="Z39" i="2"/>
  <c r="Z30" i="2"/>
  <c r="Z42" i="2"/>
  <c r="Z43" i="2"/>
  <c r="Z45" i="2"/>
  <c r="Z47" i="2"/>
  <c r="Z48" i="2"/>
  <c r="Z50" i="2"/>
  <c r="Z51" i="2"/>
  <c r="C6" i="6"/>
  <c r="C6" i="5"/>
  <c r="R48" i="2"/>
  <c r="R43" i="2"/>
  <c r="R45" i="2"/>
  <c r="R36" i="2"/>
  <c r="R31" i="2"/>
  <c r="R33" i="2"/>
  <c r="R24" i="2"/>
  <c r="R19" i="2"/>
  <c r="R21" i="2"/>
  <c r="Q15" i="2"/>
  <c r="R51" i="2" s="1"/>
  <c r="Q11" i="2"/>
  <c r="R23" i="2" s="1"/>
  <c r="T24" i="2"/>
  <c r="T19" i="2"/>
  <c r="T21" i="2"/>
  <c r="V36" i="2"/>
  <c r="T36" i="2"/>
  <c r="T31" i="2"/>
  <c r="T33" i="2"/>
  <c r="V31" i="2"/>
  <c r="V33" i="2"/>
  <c r="X36" i="2"/>
  <c r="X31" i="2"/>
  <c r="X33" i="2"/>
  <c r="X48" i="2"/>
  <c r="X43" i="2"/>
  <c r="X45" i="2"/>
  <c r="V48" i="2"/>
  <c r="V43" i="2"/>
  <c r="V45" i="2"/>
  <c r="T48" i="2"/>
  <c r="T43" i="2"/>
  <c r="T45" i="2"/>
  <c r="V24" i="2"/>
  <c r="V19" i="2"/>
  <c r="V21" i="2"/>
  <c r="X24" i="2"/>
  <c r="X19" i="2"/>
  <c r="X21" i="2"/>
  <c r="J9" i="3"/>
  <c r="L9" i="3"/>
  <c r="M14" i="3" s="1"/>
  <c r="E12" i="3"/>
  <c r="G12" i="3"/>
  <c r="I12" i="3"/>
  <c r="K12" i="3"/>
  <c r="M12" i="3"/>
  <c r="O12" i="3"/>
  <c r="Q12" i="3"/>
  <c r="S12" i="3"/>
  <c r="U12" i="3"/>
  <c r="W12" i="3"/>
  <c r="Y12" i="3"/>
  <c r="E13" i="3"/>
  <c r="G13" i="3"/>
  <c r="I13" i="3"/>
  <c r="K13" i="3"/>
  <c r="M13" i="3"/>
  <c r="O13" i="3"/>
  <c r="Q13" i="3"/>
  <c r="S13" i="3"/>
  <c r="U13" i="3"/>
  <c r="W13" i="3"/>
  <c r="Y13" i="3"/>
  <c r="E14" i="3"/>
  <c r="G14" i="3"/>
  <c r="H14" i="3"/>
  <c r="I14" i="3" s="1"/>
  <c r="J14" i="3"/>
  <c r="L14" i="3"/>
  <c r="N14" i="3"/>
  <c r="O14" i="3" s="1"/>
  <c r="P14" i="3"/>
  <c r="Q14" i="3" s="1"/>
  <c r="R14" i="3"/>
  <c r="S14" i="3" s="1"/>
  <c r="U14" i="3"/>
  <c r="V14" i="3"/>
  <c r="W14" i="3" s="1"/>
  <c r="Y14" i="3"/>
  <c r="E17" i="3"/>
  <c r="G17" i="3"/>
  <c r="I17" i="3"/>
  <c r="K17" i="3"/>
  <c r="M17" i="3"/>
  <c r="O17" i="3"/>
  <c r="Q17" i="3"/>
  <c r="S17" i="3"/>
  <c r="U17" i="3"/>
  <c r="W17" i="3"/>
  <c r="Y17" i="3"/>
  <c r="E18" i="3"/>
  <c r="G18" i="3"/>
  <c r="I18" i="3"/>
  <c r="K18" i="3"/>
  <c r="M18" i="3"/>
  <c r="O18" i="3"/>
  <c r="Q18" i="3"/>
  <c r="S18" i="3"/>
  <c r="U18" i="3"/>
  <c r="W18" i="3"/>
  <c r="Y18" i="3"/>
  <c r="E19" i="3"/>
  <c r="G19" i="3"/>
  <c r="H19" i="3"/>
  <c r="I19" i="3" s="1"/>
  <c r="J19" i="3"/>
  <c r="L19" i="3"/>
  <c r="N19" i="3"/>
  <c r="O19" i="3" s="1"/>
  <c r="P19" i="3"/>
  <c r="Q19" i="3" s="1"/>
  <c r="R19" i="3"/>
  <c r="S19" i="3" s="1"/>
  <c r="U19" i="3"/>
  <c r="V19" i="3"/>
  <c r="W19" i="3" s="1"/>
  <c r="Y19" i="3"/>
  <c r="E22" i="3"/>
  <c r="G22" i="3"/>
  <c r="I22" i="3"/>
  <c r="K22" i="3"/>
  <c r="M22" i="3"/>
  <c r="O22" i="3"/>
  <c r="Q22" i="3"/>
  <c r="S22" i="3"/>
  <c r="U22" i="3"/>
  <c r="W22" i="3"/>
  <c r="Y22" i="3"/>
  <c r="E23" i="3"/>
  <c r="G23" i="3"/>
  <c r="I23" i="3"/>
  <c r="K23" i="3"/>
  <c r="M23" i="3"/>
  <c r="O23" i="3"/>
  <c r="Q23" i="3"/>
  <c r="S23" i="3"/>
  <c r="U23" i="3"/>
  <c r="W23" i="3"/>
  <c r="Y23" i="3"/>
  <c r="E24" i="3"/>
  <c r="G24" i="3"/>
  <c r="H24" i="3"/>
  <c r="I24" i="3" s="1"/>
  <c r="J24" i="3"/>
  <c r="L24" i="3"/>
  <c r="O24" i="3"/>
  <c r="Q24" i="3"/>
  <c r="S24" i="3"/>
  <c r="U24" i="3"/>
  <c r="V24" i="3"/>
  <c r="W24" i="3" s="1"/>
  <c r="X24" i="3"/>
  <c r="Y24" i="3" s="1"/>
  <c r="D18" i="2"/>
  <c r="F18" i="2"/>
  <c r="H18" i="2"/>
  <c r="J18" i="2"/>
  <c r="L18" i="2"/>
  <c r="N18" i="2"/>
  <c r="P18" i="2"/>
  <c r="R18" i="2"/>
  <c r="T18" i="2"/>
  <c r="V18" i="2"/>
  <c r="X18" i="2"/>
  <c r="D23" i="2"/>
  <c r="F23" i="2"/>
  <c r="H23" i="2"/>
  <c r="J23" i="2"/>
  <c r="L23" i="2"/>
  <c r="N23" i="2"/>
  <c r="P23" i="2"/>
  <c r="T23" i="2"/>
  <c r="V23" i="2"/>
  <c r="X23" i="2"/>
  <c r="D26" i="2"/>
  <c r="F26" i="2"/>
  <c r="H26" i="2"/>
  <c r="J26" i="2"/>
  <c r="L26" i="2"/>
  <c r="N26" i="2"/>
  <c r="P26" i="2"/>
  <c r="R26" i="2"/>
  <c r="T26" i="2"/>
  <c r="V26" i="2"/>
  <c r="X26" i="2"/>
  <c r="D27" i="2"/>
  <c r="F27" i="2"/>
  <c r="H27" i="2"/>
  <c r="J27" i="2"/>
  <c r="L27" i="2"/>
  <c r="N27" i="2"/>
  <c r="P27" i="2"/>
  <c r="T27" i="2"/>
  <c r="V27" i="2"/>
  <c r="X27" i="2"/>
  <c r="D30" i="2"/>
  <c r="F30" i="2"/>
  <c r="H30" i="2"/>
  <c r="J30" i="2"/>
  <c r="L30" i="2"/>
  <c r="N30" i="2"/>
  <c r="P30" i="2"/>
  <c r="R30" i="2"/>
  <c r="T30" i="2"/>
  <c r="V30" i="2"/>
  <c r="X30" i="2"/>
  <c r="D35" i="2"/>
  <c r="F35" i="2"/>
  <c r="H35" i="2"/>
  <c r="J35" i="2"/>
  <c r="L35" i="2"/>
  <c r="N35" i="2"/>
  <c r="P35" i="2"/>
  <c r="T35" i="2"/>
  <c r="V35" i="2"/>
  <c r="X35" i="2"/>
  <c r="D38" i="2"/>
  <c r="F38" i="2"/>
  <c r="H38" i="2"/>
  <c r="J38" i="2"/>
  <c r="L38" i="2"/>
  <c r="N38" i="2"/>
  <c r="P38" i="2"/>
  <c r="R38" i="2"/>
  <c r="T38" i="2"/>
  <c r="V38" i="2"/>
  <c r="X38" i="2"/>
  <c r="D39" i="2"/>
  <c r="F39" i="2"/>
  <c r="H39" i="2"/>
  <c r="J39" i="2"/>
  <c r="L39" i="2"/>
  <c r="N39" i="2"/>
  <c r="P39" i="2"/>
  <c r="T39" i="2"/>
  <c r="V39" i="2"/>
  <c r="X39" i="2"/>
  <c r="D42" i="2"/>
  <c r="F42" i="2"/>
  <c r="H42" i="2"/>
  <c r="J42" i="2"/>
  <c r="L42" i="2"/>
  <c r="N42" i="2"/>
  <c r="P42" i="2"/>
  <c r="R42" i="2"/>
  <c r="T42" i="2"/>
  <c r="V42" i="2"/>
  <c r="X42" i="2"/>
  <c r="D47" i="2"/>
  <c r="F47" i="2"/>
  <c r="H47" i="2"/>
  <c r="J47" i="2"/>
  <c r="L47" i="2"/>
  <c r="N47" i="2"/>
  <c r="P47" i="2"/>
  <c r="T47" i="2"/>
  <c r="V47" i="2"/>
  <c r="X47" i="2"/>
  <c r="D50" i="2"/>
  <c r="F50" i="2"/>
  <c r="H50" i="2"/>
  <c r="J50" i="2"/>
  <c r="L50" i="2"/>
  <c r="N50" i="2"/>
  <c r="P50" i="2"/>
  <c r="R50" i="2"/>
  <c r="T50" i="2"/>
  <c r="V50" i="2"/>
  <c r="X50" i="2"/>
  <c r="D51" i="2"/>
  <c r="F51" i="2"/>
  <c r="H51" i="2"/>
  <c r="J51" i="2"/>
  <c r="L51" i="2"/>
  <c r="N51" i="2"/>
  <c r="P51" i="2"/>
  <c r="T51" i="2"/>
  <c r="V51" i="2"/>
  <c r="X51" i="2"/>
  <c r="M24" i="3" l="1"/>
  <c r="K24" i="3"/>
  <c r="K19" i="3"/>
  <c r="R27" i="2"/>
  <c r="M19" i="3"/>
  <c r="AB9" i="3"/>
  <c r="AC19" i="3" s="1"/>
  <c r="AC12" i="3"/>
  <c r="K14" i="3"/>
  <c r="AC17" i="3"/>
  <c r="R39" i="2"/>
  <c r="R47" i="2"/>
  <c r="R35" i="2"/>
  <c r="AC14" i="3" l="1"/>
  <c r="AC24" i="3"/>
</calcChain>
</file>

<file path=xl/sharedStrings.xml><?xml version="1.0" encoding="utf-8"?>
<sst xmlns="http://schemas.openxmlformats.org/spreadsheetml/2006/main" count="470" uniqueCount="71">
  <si>
    <t>Graduation Statistics for Full-time First-time Student Cohorts</t>
  </si>
  <si>
    <t>Entering Fall</t>
  </si>
  <si>
    <t>1st year cohort</t>
  </si>
  <si>
    <t>Graduated in 4 yrs or less</t>
  </si>
  <si>
    <t>4-year Graduation Rate</t>
  </si>
  <si>
    <t>Graduated in 5 yrs or less</t>
  </si>
  <si>
    <t>5-year Graduation Rate</t>
  </si>
  <si>
    <t>Graduated in 6 yrs or less</t>
  </si>
  <si>
    <t>6-year Graduation Rate</t>
  </si>
  <si>
    <t>%</t>
  </si>
  <si>
    <t>African-American</t>
  </si>
  <si>
    <t>White, non-Hispanic</t>
  </si>
  <si>
    <t>Total</t>
  </si>
  <si>
    <t>Male</t>
  </si>
  <si>
    <t>Female</t>
  </si>
  <si>
    <t>American Indian/Alaka Native</t>
  </si>
  <si>
    <t>Hispanic</t>
  </si>
  <si>
    <t>Asian/Pacific Islander</t>
  </si>
  <si>
    <t>Non-resident Alien</t>
  </si>
  <si>
    <t>Unknown</t>
  </si>
  <si>
    <t>Students who received a subsidized Stafford loan but did NOT receive a Pell Grant</t>
  </si>
  <si>
    <t>Students who did not receive either a Pell Grant or subsidized Stafford Loan</t>
  </si>
  <si>
    <t>Graduated in 6 years or less</t>
  </si>
  <si>
    <t>N/A</t>
  </si>
  <si>
    <t>Two or more races</t>
  </si>
  <si>
    <t>Asian</t>
  </si>
  <si>
    <t xml:space="preserve">Note:  </t>
  </si>
  <si>
    <t>Percentages are calculated after removing allowable exclusions from the initial cohort.</t>
  </si>
  <si>
    <t xml:space="preserve">Graduated </t>
  </si>
  <si>
    <t>Cohort</t>
  </si>
  <si>
    <t>American Indian/Alaska Native</t>
  </si>
  <si>
    <t>Graduated</t>
  </si>
  <si>
    <t xml:space="preserve">Cohort </t>
  </si>
  <si>
    <t>Graduation Rate</t>
  </si>
  <si>
    <t>Federal PELL Grant Recipients</t>
  </si>
  <si>
    <t>Graduation Rates of Students Receiving Federal Aid and All Others</t>
  </si>
  <si>
    <t>ALL Students</t>
  </si>
  <si>
    <t>Graduation Rates for First-time, Full-time Students by Gender</t>
  </si>
  <si>
    <t>Graduation Rates for First-time, Full-time Students by Race/Ethnicity</t>
  </si>
  <si>
    <t>Native Hawaiian/Pacific Islander</t>
  </si>
  <si>
    <t>White</t>
  </si>
  <si>
    <t>Unknown/Not Specified</t>
  </si>
  <si>
    <t>Note:  Percentages are calculated after removing allowable exclusions from the initial cohort.</t>
  </si>
  <si>
    <t>2010 Cohort</t>
  </si>
  <si>
    <t>2011 Cohort</t>
  </si>
  <si>
    <t>2012 Cohort</t>
  </si>
  <si>
    <t>2013 Cohort</t>
  </si>
  <si>
    <t>-</t>
  </si>
  <si>
    <t>2014 Cohort</t>
  </si>
  <si>
    <t>African-American/Black</t>
  </si>
  <si>
    <t>#</t>
  </si>
  <si>
    <t>Source:</t>
  </si>
  <si>
    <t>IPEDS GRS</t>
  </si>
  <si>
    <t>Source: IPEDS GRS</t>
  </si>
  <si>
    <t>Note: Percentages are calculated after removing allowable exclusions from the initial cohort.</t>
  </si>
  <si>
    <t>2015 Cohort</t>
  </si>
  <si>
    <t>2016 Cohort</t>
  </si>
  <si>
    <t xml:space="preserve">Note: </t>
  </si>
  <si>
    <t xml:space="preserve">Source: </t>
  </si>
  <si>
    <t>2017 Cohort</t>
  </si>
  <si>
    <t>n/a</t>
  </si>
  <si>
    <t>2018 Cohort</t>
  </si>
  <si>
    <t>Graduation Rates for First-time, Full-time Students by Race/Ethnicity and Gender</t>
  </si>
  <si>
    <t>2019 Cohort</t>
  </si>
  <si>
    <t>Received Federal PELL Grant</t>
  </si>
  <si>
    <t>Received neither PELL nor Subsidized Loan</t>
  </si>
  <si>
    <t>Received Susidized Loan but no PELL Grant</t>
  </si>
  <si>
    <t>Nonresident Alien (NRA)</t>
  </si>
  <si>
    <t>Fall 1999 through Fall 2019</t>
  </si>
  <si>
    <r>
      <t>Fall 2017 through</t>
    </r>
    <r>
      <rPr>
        <i/>
        <sz val="9"/>
        <color theme="1"/>
        <rFont val="Arial"/>
        <family val="2"/>
      </rPr>
      <t xml:space="preserve"> Fall 2019 Cohorts</t>
    </r>
  </si>
  <si>
    <t>Fall 2017 through Fall 2019 Cohorts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</si>
</sst>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7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i/>
      <sz val="8"/>
      <name val="Arial"/>
      <family val="2"/>
    </font>
    <font>
      <b/>
      <sz val="9"/>
      <color rgb="FFC00000"/>
      <name val="Calibri"/>
      <family val="2"/>
      <scheme val="minor"/>
    </font>
    <font>
      <i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>
        <bgColor indexed="43"/>
      </patternFill>
    </fill>
    <fill>
      <patternFill patternType="lightGray">
        <bgColor rgb="FFFFFF99"/>
      </patternFill>
    </fill>
    <fill>
      <patternFill patternType="lightGray"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CD904"/>
        <bgColor indexed="64"/>
      </patternFill>
    </fill>
    <fill>
      <patternFill patternType="solid">
        <fgColor rgb="FFC0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86">
    <xf numFmtId="0" fontId="0" fillId="0" borderId="0" xfId="0"/>
    <xf numFmtId="0" fontId="2" fillId="0" borderId="9" xfId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164" fontId="4" fillId="6" borderId="8" xfId="0" applyNumberFormat="1" applyFont="1" applyFill="1" applyBorder="1"/>
    <xf numFmtId="9" fontId="0" fillId="0" borderId="0" xfId="0" applyNumberFormat="1"/>
    <xf numFmtId="0" fontId="8" fillId="6" borderId="3" xfId="1" applyFont="1" applyFill="1" applyBorder="1" applyAlignment="1">
      <alignment horizontal="centerContinuous"/>
    </xf>
    <xf numFmtId="0" fontId="8" fillId="6" borderId="4" xfId="1" applyFont="1" applyFill="1" applyBorder="1" applyAlignment="1">
      <alignment horizontal="centerContinuous"/>
    </xf>
    <xf numFmtId="0" fontId="8" fillId="2" borderId="5" xfId="1" applyFont="1" applyFill="1" applyBorder="1" applyAlignment="1">
      <alignment horizontal="center"/>
    </xf>
    <xf numFmtId="0" fontId="8" fillId="6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2" borderId="1" xfId="1" applyFont="1" applyFill="1" applyBorder="1"/>
    <xf numFmtId="0" fontId="9" fillId="6" borderId="3" xfId="1" applyFont="1" applyFill="1" applyBorder="1" applyAlignment="1">
      <alignment horizontal="right"/>
    </xf>
    <xf numFmtId="0" fontId="8" fillId="2" borderId="5" xfId="1" applyFont="1" applyFill="1" applyBorder="1"/>
    <xf numFmtId="0" fontId="0" fillId="0" borderId="6" xfId="0" applyBorder="1"/>
    <xf numFmtId="0" fontId="7" fillId="0" borderId="0" xfId="0" applyFont="1" applyAlignment="1">
      <alignment horizontal="right"/>
    </xf>
    <xf numFmtId="0" fontId="11" fillId="6" borderId="7" xfId="1" applyFont="1" applyFill="1" applyBorder="1" applyAlignment="1">
      <alignment horizontal="center"/>
    </xf>
    <xf numFmtId="0" fontId="11" fillId="6" borderId="8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right"/>
    </xf>
    <xf numFmtId="0" fontId="11" fillId="6" borderId="4" xfId="1" applyFont="1" applyFill="1" applyBorder="1" applyAlignment="1">
      <alignment horizontal="centerContinuous"/>
    </xf>
    <xf numFmtId="0" fontId="5" fillId="6" borderId="7" xfId="0" applyFont="1" applyFill="1" applyBorder="1" applyAlignment="1">
      <alignment horizontal="right"/>
    </xf>
    <xf numFmtId="0" fontId="9" fillId="2" borderId="9" xfId="1" applyFont="1" applyFill="1" applyBorder="1"/>
    <xf numFmtId="0" fontId="9" fillId="2" borderId="0" xfId="1" applyFont="1" applyFill="1"/>
    <xf numFmtId="0" fontId="9" fillId="2" borderId="5" xfId="1" applyFont="1" applyFill="1" applyBorder="1"/>
    <xf numFmtId="0" fontId="9" fillId="2" borderId="6" xfId="1" applyFont="1" applyFill="1" applyBorder="1"/>
    <xf numFmtId="0" fontId="0" fillId="5" borderId="9" xfId="0" applyFill="1" applyBorder="1"/>
    <xf numFmtId="0" fontId="0" fillId="5" borderId="0" xfId="0" applyFill="1"/>
    <xf numFmtId="0" fontId="0" fillId="5" borderId="1" xfId="0" applyFill="1" applyBorder="1"/>
    <xf numFmtId="0" fontId="0" fillId="6" borderId="0" xfId="0" applyFill="1"/>
    <xf numFmtId="0" fontId="0" fillId="6" borderId="2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6" xfId="0" applyFill="1" applyBorder="1"/>
    <xf numFmtId="164" fontId="0" fillId="0" borderId="0" xfId="0" applyNumberFormat="1"/>
    <xf numFmtId="164" fontId="0" fillId="5" borderId="9" xfId="0" applyNumberFormat="1" applyFill="1" applyBorder="1"/>
    <xf numFmtId="164" fontId="0" fillId="5" borderId="0" xfId="0" applyNumberFormat="1" applyFill="1"/>
    <xf numFmtId="164" fontId="0" fillId="6" borderId="0" xfId="0" applyNumberFormat="1" applyFill="1"/>
    <xf numFmtId="0" fontId="0" fillId="3" borderId="0" xfId="0" applyFill="1"/>
    <xf numFmtId="0" fontId="0" fillId="4" borderId="0" xfId="0" applyFill="1"/>
    <xf numFmtId="164" fontId="0" fillId="0" borderId="6" xfId="0" applyNumberFormat="1" applyBorder="1"/>
    <xf numFmtId="164" fontId="0" fillId="5" borderId="5" xfId="0" applyNumberFormat="1" applyFill="1" applyBorder="1"/>
    <xf numFmtId="164" fontId="0" fillId="5" borderId="6" xfId="0" applyNumberFormat="1" applyFill="1" applyBorder="1"/>
    <xf numFmtId="164" fontId="0" fillId="6" borderId="6" xfId="0" applyNumberFormat="1" applyFill="1" applyBorder="1"/>
    <xf numFmtId="0" fontId="8" fillId="2" borderId="12" xfId="1" applyFont="1" applyFill="1" applyBorder="1" applyAlignment="1">
      <alignment horizontal="centerContinuous"/>
    </xf>
    <xf numFmtId="0" fontId="8" fillId="2" borderId="13" xfId="1" applyFont="1" applyFill="1" applyBorder="1" applyAlignment="1">
      <alignment horizontal="centerContinuous"/>
    </xf>
    <xf numFmtId="0" fontId="8" fillId="2" borderId="13" xfId="1" applyFont="1" applyFill="1" applyBorder="1" applyAlignment="1">
      <alignment horizontal="center"/>
    </xf>
    <xf numFmtId="0" fontId="8" fillId="2" borderId="13" xfId="1" applyFont="1" applyFill="1" applyBorder="1"/>
    <xf numFmtId="0" fontId="8" fillId="5" borderId="12" xfId="1" applyFont="1" applyFill="1" applyBorder="1"/>
    <xf numFmtId="0" fontId="8" fillId="5" borderId="13" xfId="1" applyFont="1" applyFill="1" applyBorder="1"/>
    <xf numFmtId="0" fontId="8" fillId="6" borderId="13" xfId="1" applyFont="1" applyFill="1" applyBorder="1"/>
    <xf numFmtId="0" fontId="8" fillId="6" borderId="2" xfId="1" applyFont="1" applyFill="1" applyBorder="1"/>
    <xf numFmtId="0" fontId="8" fillId="2" borderId="6" xfId="1" applyFont="1" applyFill="1" applyBorder="1"/>
    <xf numFmtId="0" fontId="10" fillId="2" borderId="6" xfId="1" applyFont="1" applyFill="1" applyBorder="1"/>
    <xf numFmtId="0" fontId="8" fillId="2" borderId="2" xfId="0" applyFont="1" applyFill="1" applyBorder="1" applyAlignment="1">
      <alignment horizontal="right"/>
    </xf>
    <xf numFmtId="0" fontId="13" fillId="6" borderId="7" xfId="0" applyFont="1" applyFill="1" applyBorder="1" applyAlignment="1">
      <alignment horizontal="right"/>
    </xf>
    <xf numFmtId="164" fontId="6" fillId="6" borderId="8" xfId="0" applyNumberFormat="1" applyFont="1" applyFill="1" applyBorder="1"/>
    <xf numFmtId="0" fontId="11" fillId="6" borderId="3" xfId="1" applyFont="1" applyFill="1" applyBorder="1" applyAlignment="1">
      <alignment horizontal="centerContinuous"/>
    </xf>
    <xf numFmtId="0" fontId="8" fillId="0" borderId="0" xfId="1" applyFont="1"/>
    <xf numFmtId="0" fontId="8" fillId="2" borderId="12" xfId="1" applyFont="1" applyFill="1" applyBorder="1"/>
    <xf numFmtId="0" fontId="14" fillId="12" borderId="12" xfId="1" applyFont="1" applyFill="1" applyBorder="1" applyAlignment="1">
      <alignment horizontal="center"/>
    </xf>
    <xf numFmtId="0" fontId="14" fillId="12" borderId="23" xfId="1" applyFont="1" applyFill="1" applyBorder="1" applyAlignment="1">
      <alignment horizontal="center"/>
    </xf>
    <xf numFmtId="0" fontId="14" fillId="12" borderId="13" xfId="1" applyFont="1" applyFill="1" applyBorder="1" applyAlignment="1">
      <alignment horizontal="center" wrapText="1"/>
    </xf>
    <xf numFmtId="0" fontId="14" fillId="12" borderId="22" xfId="1" applyFont="1" applyFill="1" applyBorder="1" applyAlignment="1">
      <alignment horizontal="center" wrapText="1"/>
    </xf>
    <xf numFmtId="0" fontId="14" fillId="12" borderId="12" xfId="1" applyFont="1" applyFill="1" applyBorder="1" applyAlignment="1">
      <alignment horizontal="center" wrapText="1"/>
    </xf>
    <xf numFmtId="0" fontId="14" fillId="12" borderId="23" xfId="1" applyFont="1" applyFill="1" applyBorder="1" applyAlignment="1">
      <alignment horizontal="center" wrapText="1"/>
    </xf>
    <xf numFmtId="0" fontId="8" fillId="2" borderId="22" xfId="1" applyFont="1" applyFill="1" applyBorder="1"/>
    <xf numFmtId="0" fontId="8" fillId="0" borderId="13" xfId="1" applyFont="1" applyBorder="1"/>
    <xf numFmtId="165" fontId="12" fillId="6" borderId="12" xfId="2" applyNumberFormat="1" applyFont="1" applyFill="1" applyBorder="1" applyAlignment="1">
      <alignment horizontal="right"/>
    </xf>
    <xf numFmtId="165" fontId="12" fillId="6" borderId="23" xfId="2" applyNumberFormat="1" applyFont="1" applyFill="1" applyBorder="1" applyAlignment="1">
      <alignment horizontal="right"/>
    </xf>
    <xf numFmtId="165" fontId="0" fillId="0" borderId="0" xfId="2" applyNumberFormat="1" applyFont="1"/>
    <xf numFmtId="164" fontId="0" fillId="6" borderId="15" xfId="0" applyNumberFormat="1" applyFill="1" applyBorder="1"/>
    <xf numFmtId="164" fontId="0" fillId="6" borderId="16" xfId="0" applyNumberFormat="1" applyFill="1" applyBorder="1"/>
    <xf numFmtId="9" fontId="11" fillId="6" borderId="13" xfId="3" applyFont="1" applyFill="1" applyBorder="1" applyAlignment="1">
      <alignment horizontal="right"/>
    </xf>
    <xf numFmtId="9" fontId="11" fillId="6" borderId="22" xfId="3" applyFont="1" applyFill="1" applyBorder="1" applyAlignment="1">
      <alignment horizontal="right"/>
    </xf>
    <xf numFmtId="0" fontId="0" fillId="6" borderId="15" xfId="0" applyFill="1" applyBorder="1"/>
    <xf numFmtId="0" fontId="8" fillId="6" borderId="22" xfId="1" applyFont="1" applyFill="1" applyBorder="1"/>
    <xf numFmtId="0" fontId="0" fillId="6" borderId="16" xfId="0" applyFill="1" applyBorder="1"/>
    <xf numFmtId="165" fontId="12" fillId="6" borderId="13" xfId="2" applyNumberFormat="1" applyFont="1" applyFill="1" applyBorder="1" applyAlignment="1">
      <alignment horizontal="right"/>
    </xf>
    <xf numFmtId="165" fontId="12" fillId="6" borderId="24" xfId="2" applyNumberFormat="1" applyFont="1" applyFill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/>
    <xf numFmtId="0" fontId="17" fillId="6" borderId="8" xfId="1" applyFont="1" applyFill="1" applyBorder="1" applyAlignment="1">
      <alignment horizontal="center"/>
    </xf>
    <xf numFmtId="0" fontId="17" fillId="6" borderId="6" xfId="1" applyFont="1" applyFill="1" applyBorder="1" applyAlignment="1">
      <alignment horizontal="center"/>
    </xf>
    <xf numFmtId="0" fontId="17" fillId="11" borderId="8" xfId="1" applyFont="1" applyFill="1" applyBorder="1" applyAlignment="1">
      <alignment horizontal="center"/>
    </xf>
    <xf numFmtId="0" fontId="17" fillId="11" borderId="6" xfId="1" applyFont="1" applyFill="1" applyBorder="1" applyAlignment="1">
      <alignment horizontal="center"/>
    </xf>
    <xf numFmtId="0" fontId="20" fillId="2" borderId="3" xfId="1" applyFont="1" applyFill="1" applyBorder="1" applyAlignment="1">
      <alignment horizontal="centerContinuous"/>
    </xf>
    <xf numFmtId="0" fontId="20" fillId="2" borderId="4" xfId="1" applyFont="1" applyFill="1" applyBorder="1" applyAlignment="1">
      <alignment horizontal="centerContinuous"/>
    </xf>
    <xf numFmtId="0" fontId="20" fillId="5" borderId="3" xfId="1" applyFont="1" applyFill="1" applyBorder="1" applyAlignment="1">
      <alignment horizontal="centerContinuous"/>
    </xf>
    <xf numFmtId="0" fontId="20" fillId="5" borderId="4" xfId="1" applyFont="1" applyFill="1" applyBorder="1" applyAlignment="1">
      <alignment horizontal="centerContinuous"/>
    </xf>
    <xf numFmtId="0" fontId="20" fillId="6" borderId="3" xfId="1" applyFont="1" applyFill="1" applyBorder="1" applyAlignment="1">
      <alignment horizontal="centerContinuous"/>
    </xf>
    <xf numFmtId="0" fontId="20" fillId="6" borderId="4" xfId="1" applyFont="1" applyFill="1" applyBorder="1" applyAlignment="1">
      <alignment horizontal="centerContinuous"/>
    </xf>
    <xf numFmtId="0" fontId="20" fillId="6" borderId="1" xfId="1" applyFont="1" applyFill="1" applyBorder="1" applyAlignment="1">
      <alignment horizontal="centerContinuous"/>
    </xf>
    <xf numFmtId="0" fontId="20" fillId="2" borderId="5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center"/>
    </xf>
    <xf numFmtId="0" fontId="20" fillId="2" borderId="7" xfId="1" applyFont="1" applyFill="1" applyBorder="1" applyAlignment="1">
      <alignment horizontal="center"/>
    </xf>
    <xf numFmtId="0" fontId="20" fillId="2" borderId="8" xfId="1" applyFont="1" applyFill="1" applyBorder="1" applyAlignment="1">
      <alignment horizontal="center"/>
    </xf>
    <xf numFmtId="0" fontId="20" fillId="5" borderId="7" xfId="1" applyFont="1" applyFill="1" applyBorder="1" applyAlignment="1">
      <alignment horizontal="center"/>
    </xf>
    <xf numFmtId="0" fontId="20" fillId="5" borderId="8" xfId="1" applyFont="1" applyFill="1" applyBorder="1" applyAlignment="1">
      <alignment horizontal="center"/>
    </xf>
    <xf numFmtId="0" fontId="20" fillId="6" borderId="7" xfId="1" applyFont="1" applyFill="1" applyBorder="1" applyAlignment="1">
      <alignment horizontal="center"/>
    </xf>
    <xf numFmtId="0" fontId="20" fillId="6" borderId="8" xfId="1" applyFont="1" applyFill="1" applyBorder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20" fillId="6" borderId="5" xfId="1" applyFont="1" applyFill="1" applyBorder="1" applyAlignment="1">
      <alignment horizontal="center"/>
    </xf>
    <xf numFmtId="0" fontId="20" fillId="6" borderId="16" xfId="1" applyFont="1" applyFill="1" applyBorder="1" applyAlignment="1">
      <alignment horizontal="center"/>
    </xf>
    <xf numFmtId="0" fontId="20" fillId="6" borderId="2" xfId="1" applyFont="1" applyFill="1" applyBorder="1" applyAlignment="1">
      <alignment horizontal="centerContinuous"/>
    </xf>
    <xf numFmtId="0" fontId="20" fillId="6" borderId="17" xfId="1" applyFont="1" applyFill="1" applyBorder="1" applyAlignment="1">
      <alignment horizontal="centerContinuous"/>
    </xf>
    <xf numFmtId="0" fontId="20" fillId="2" borderId="9" xfId="1" applyFont="1" applyFill="1" applyBorder="1"/>
    <xf numFmtId="0" fontId="17" fillId="2" borderId="1" xfId="1" applyFont="1" applyFill="1" applyBorder="1" applyAlignment="1">
      <alignment horizontal="centerContinuous"/>
    </xf>
    <xf numFmtId="0" fontId="17" fillId="2" borderId="2" xfId="1" applyFont="1" applyFill="1" applyBorder="1" applyAlignment="1">
      <alignment horizontal="centerContinuous"/>
    </xf>
    <xf numFmtId="0" fontId="17" fillId="2" borderId="3" xfId="1" applyFont="1" applyFill="1" applyBorder="1" applyAlignment="1">
      <alignment horizontal="centerContinuous"/>
    </xf>
    <xf numFmtId="0" fontId="17" fillId="2" borderId="4" xfId="1" applyFont="1" applyFill="1" applyBorder="1" applyAlignment="1">
      <alignment horizontal="centerContinuous"/>
    </xf>
    <xf numFmtId="0" fontId="17" fillId="5" borderId="3" xfId="1" applyFont="1" applyFill="1" applyBorder="1" applyAlignment="1">
      <alignment horizontal="centerContinuous"/>
    </xf>
    <xf numFmtId="0" fontId="17" fillId="5" borderId="4" xfId="1" applyFont="1" applyFill="1" applyBorder="1" applyAlignment="1">
      <alignment horizontal="centerContinuous"/>
    </xf>
    <xf numFmtId="0" fontId="17" fillId="6" borderId="3" xfId="1" applyFont="1" applyFill="1" applyBorder="1" applyAlignment="1">
      <alignment horizontal="centerContinuous"/>
    </xf>
    <xf numFmtId="0" fontId="17" fillId="6" borderId="4" xfId="1" applyFont="1" applyFill="1" applyBorder="1" applyAlignment="1">
      <alignment horizontal="centerContinuous"/>
    </xf>
    <xf numFmtId="0" fontId="17" fillId="3" borderId="3" xfId="1" applyFont="1" applyFill="1" applyBorder="1" applyAlignment="1">
      <alignment horizontal="centerContinuous"/>
    </xf>
    <xf numFmtId="0" fontId="17" fillId="6" borderId="4" xfId="1" applyFont="1" applyFill="1" applyBorder="1" applyAlignment="1">
      <alignment horizontal="center"/>
    </xf>
    <xf numFmtId="0" fontId="17" fillId="6" borderId="2" xfId="1" applyFont="1" applyFill="1" applyBorder="1" applyAlignment="1">
      <alignment horizontal="center"/>
    </xf>
    <xf numFmtId="0" fontId="17" fillId="6" borderId="1" xfId="1" applyFont="1" applyFill="1" applyBorder="1" applyAlignment="1">
      <alignment horizontal="centerContinuous"/>
    </xf>
    <xf numFmtId="0" fontId="17" fillId="6" borderId="21" xfId="1" applyFont="1" applyFill="1" applyBorder="1" applyAlignment="1">
      <alignment horizontal="center"/>
    </xf>
    <xf numFmtId="0" fontId="17" fillId="11" borderId="4" xfId="1" applyFont="1" applyFill="1" applyBorder="1" applyAlignment="1">
      <alignment horizontal="center"/>
    </xf>
    <xf numFmtId="0" fontId="17" fillId="11" borderId="2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7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17" fillId="5" borderId="7" xfId="1" applyFont="1" applyFill="1" applyBorder="1" applyAlignment="1">
      <alignment horizontal="center"/>
    </xf>
    <xf numFmtId="0" fontId="17" fillId="5" borderId="8" xfId="1" applyFont="1" applyFill="1" applyBorder="1" applyAlignment="1">
      <alignment horizontal="center"/>
    </xf>
    <xf numFmtId="0" fontId="17" fillId="6" borderId="7" xfId="1" applyFont="1" applyFill="1" applyBorder="1" applyAlignment="1">
      <alignment horizontal="center"/>
    </xf>
    <xf numFmtId="0" fontId="17" fillId="3" borderId="7" xfId="1" applyFont="1" applyFill="1" applyBorder="1" applyAlignment="1">
      <alignment horizontal="center"/>
    </xf>
    <xf numFmtId="0" fontId="17" fillId="6" borderId="5" xfId="1" applyFont="1" applyFill="1" applyBorder="1" applyAlignment="1">
      <alignment horizontal="center"/>
    </xf>
    <xf numFmtId="0" fontId="17" fillId="6" borderId="18" xfId="1" applyFont="1" applyFill="1" applyBorder="1" applyAlignment="1">
      <alignment horizontal="center"/>
    </xf>
    <xf numFmtId="0" fontId="17" fillId="2" borderId="1" xfId="1" applyFont="1" applyFill="1" applyBorder="1"/>
    <xf numFmtId="0" fontId="17" fillId="2" borderId="2" xfId="1" applyFont="1" applyFill="1" applyBorder="1"/>
    <xf numFmtId="0" fontId="17" fillId="6" borderId="2" xfId="1" applyFont="1" applyFill="1" applyBorder="1" applyAlignment="1">
      <alignment horizontal="centerContinuous"/>
    </xf>
    <xf numFmtId="0" fontId="17" fillId="6" borderId="21" xfId="1" applyFont="1" applyFill="1" applyBorder="1" applyAlignment="1">
      <alignment horizontal="centerContinuous"/>
    </xf>
    <xf numFmtId="0" fontId="17" fillId="11" borderId="4" xfId="1" applyFont="1" applyFill="1" applyBorder="1" applyAlignment="1">
      <alignment horizontal="centerContinuous"/>
    </xf>
    <xf numFmtId="0" fontId="17" fillId="11" borderId="2" xfId="1" applyFont="1" applyFill="1" applyBorder="1" applyAlignment="1">
      <alignment horizontal="centerContinuous"/>
    </xf>
    <xf numFmtId="0" fontId="21" fillId="0" borderId="10" xfId="0" applyFont="1" applyBorder="1"/>
    <xf numFmtId="164" fontId="21" fillId="0" borderId="11" xfId="0" applyNumberFormat="1" applyFont="1" applyBorder="1"/>
    <xf numFmtId="0" fontId="21" fillId="3" borderId="10" xfId="0" applyFont="1" applyFill="1" applyBorder="1"/>
    <xf numFmtId="0" fontId="21" fillId="5" borderId="10" xfId="0" applyFont="1" applyFill="1" applyBorder="1"/>
    <xf numFmtId="164" fontId="21" fillId="5" borderId="11" xfId="0" applyNumberFormat="1" applyFont="1" applyFill="1" applyBorder="1"/>
    <xf numFmtId="0" fontId="21" fillId="6" borderId="10" xfId="0" applyFont="1" applyFill="1" applyBorder="1"/>
    <xf numFmtId="164" fontId="21" fillId="6" borderId="11" xfId="0" applyNumberFormat="1" applyFont="1" applyFill="1" applyBorder="1"/>
    <xf numFmtId="1" fontId="21" fillId="6" borderId="11" xfId="0" applyNumberFormat="1" applyFont="1" applyFill="1" applyBorder="1"/>
    <xf numFmtId="164" fontId="21" fillId="6" borderId="0" xfId="0" applyNumberFormat="1" applyFont="1" applyFill="1"/>
    <xf numFmtId="164" fontId="21" fillId="6" borderId="9" xfId="0" applyNumberFormat="1" applyFont="1" applyFill="1" applyBorder="1"/>
    <xf numFmtId="0" fontId="17" fillId="2" borderId="9" xfId="1" applyFont="1" applyFill="1" applyBorder="1"/>
    <xf numFmtId="0" fontId="17" fillId="2" borderId="0" xfId="0" applyFont="1" applyFill="1" applyAlignment="1">
      <alignment horizontal="right"/>
    </xf>
    <xf numFmtId="0" fontId="17" fillId="2" borderId="9" xfId="0" applyFont="1" applyFill="1" applyBorder="1" applyAlignment="1">
      <alignment horizontal="right"/>
    </xf>
    <xf numFmtId="9" fontId="21" fillId="7" borderId="11" xfId="0" applyNumberFormat="1" applyFont="1" applyFill="1" applyBorder="1"/>
    <xf numFmtId="0" fontId="21" fillId="7" borderId="10" xfId="0" applyFont="1" applyFill="1" applyBorder="1"/>
    <xf numFmtId="9" fontId="21" fillId="7" borderId="10" xfId="0" applyNumberFormat="1" applyFont="1" applyFill="1" applyBorder="1"/>
    <xf numFmtId="9" fontId="21" fillId="8" borderId="10" xfId="0" applyNumberFormat="1" applyFont="1" applyFill="1" applyBorder="1"/>
    <xf numFmtId="9" fontId="21" fillId="8" borderId="11" xfId="0" applyNumberFormat="1" applyFont="1" applyFill="1" applyBorder="1"/>
    <xf numFmtId="9" fontId="21" fillId="9" borderId="10" xfId="0" applyNumberFormat="1" applyFont="1" applyFill="1" applyBorder="1"/>
    <xf numFmtId="0" fontId="18" fillId="2" borderId="9" xfId="1" applyFont="1" applyFill="1" applyBorder="1"/>
    <xf numFmtId="9" fontId="21" fillId="5" borderId="11" xfId="0" applyNumberFormat="1" applyFont="1" applyFill="1" applyBorder="1"/>
    <xf numFmtId="9" fontId="21" fillId="5" borderId="10" xfId="0" applyNumberFormat="1" applyFont="1" applyFill="1" applyBorder="1"/>
    <xf numFmtId="9" fontId="21" fillId="6" borderId="10" xfId="0" applyNumberFormat="1" applyFont="1" applyFill="1" applyBorder="1"/>
    <xf numFmtId="9" fontId="21" fillId="6" borderId="11" xfId="0" applyNumberFormat="1" applyFont="1" applyFill="1" applyBorder="1"/>
    <xf numFmtId="9" fontId="21" fillId="3" borderId="10" xfId="0" applyNumberFormat="1" applyFont="1" applyFill="1" applyBorder="1"/>
    <xf numFmtId="165" fontId="21" fillId="6" borderId="11" xfId="2" applyNumberFormat="1" applyFont="1" applyFill="1" applyBorder="1"/>
    <xf numFmtId="0" fontId="21" fillId="6" borderId="11" xfId="0" applyFont="1" applyFill="1" applyBorder="1"/>
    <xf numFmtId="0" fontId="21" fillId="6" borderId="0" xfId="0" applyFont="1" applyFill="1"/>
    <xf numFmtId="9" fontId="21" fillId="6" borderId="9" xfId="0" applyNumberFormat="1" applyFont="1" applyFill="1" applyBorder="1"/>
    <xf numFmtId="9" fontId="21" fillId="6" borderId="19" xfId="0" applyNumberFormat="1" applyFont="1" applyFill="1" applyBorder="1"/>
    <xf numFmtId="165" fontId="21" fillId="8" borderId="11" xfId="2" applyNumberFormat="1" applyFont="1" applyFill="1" applyBorder="1"/>
    <xf numFmtId="0" fontId="21" fillId="6" borderId="11" xfId="0" applyFont="1" applyFill="1" applyBorder="1" applyAlignment="1">
      <alignment horizontal="right"/>
    </xf>
    <xf numFmtId="0" fontId="21" fillId="6" borderId="0" xfId="0" applyFont="1" applyFill="1" applyAlignment="1">
      <alignment horizontal="right"/>
    </xf>
    <xf numFmtId="0" fontId="18" fillId="2" borderId="5" xfId="1" applyFont="1" applyFill="1" applyBorder="1"/>
    <xf numFmtId="0" fontId="17" fillId="2" borderId="6" xfId="0" applyFont="1" applyFill="1" applyBorder="1" applyAlignment="1">
      <alignment horizontal="right"/>
    </xf>
    <xf numFmtId="0" fontId="21" fillId="0" borderId="7" xfId="0" applyFont="1" applyBorder="1"/>
    <xf numFmtId="164" fontId="21" fillId="0" borderId="8" xfId="0" applyNumberFormat="1" applyFont="1" applyBorder="1"/>
    <xf numFmtId="0" fontId="21" fillId="5" borderId="7" xfId="0" applyFont="1" applyFill="1" applyBorder="1"/>
    <xf numFmtId="164" fontId="21" fillId="5" borderId="8" xfId="0" applyNumberFormat="1" applyFont="1" applyFill="1" applyBorder="1"/>
    <xf numFmtId="9" fontId="21" fillId="5" borderId="8" xfId="0" applyNumberFormat="1" applyFont="1" applyFill="1" applyBorder="1"/>
    <xf numFmtId="9" fontId="21" fillId="5" borderId="7" xfId="0" applyNumberFormat="1" applyFont="1" applyFill="1" applyBorder="1"/>
    <xf numFmtId="9" fontId="21" fillId="6" borderId="7" xfId="0" applyNumberFormat="1" applyFont="1" applyFill="1" applyBorder="1"/>
    <xf numFmtId="9" fontId="21" fillId="6" borderId="8" xfId="0" applyNumberFormat="1" applyFont="1" applyFill="1" applyBorder="1"/>
    <xf numFmtId="9" fontId="21" fillId="3" borderId="7" xfId="0" applyNumberFormat="1" applyFont="1" applyFill="1" applyBorder="1"/>
    <xf numFmtId="165" fontId="21" fillId="6" borderId="8" xfId="2" applyNumberFormat="1" applyFont="1" applyFill="1" applyBorder="1"/>
    <xf numFmtId="9" fontId="21" fillId="6" borderId="20" xfId="0" applyNumberFormat="1" applyFont="1" applyFill="1" applyBorder="1"/>
    <xf numFmtId="0" fontId="21" fillId="6" borderId="8" xfId="0" applyFont="1" applyFill="1" applyBorder="1"/>
    <xf numFmtId="0" fontId="21" fillId="6" borderId="6" xfId="0" applyFont="1" applyFill="1" applyBorder="1"/>
    <xf numFmtId="9" fontId="21" fillId="6" borderId="5" xfId="0" applyNumberFormat="1" applyFont="1" applyFill="1" applyBorder="1"/>
    <xf numFmtId="9" fontId="21" fillId="6" borderId="18" xfId="0" applyNumberFormat="1" applyFont="1" applyFill="1" applyBorder="1"/>
    <xf numFmtId="0" fontId="18" fillId="2" borderId="12" xfId="1" applyFont="1" applyFill="1" applyBorder="1"/>
    <xf numFmtId="0" fontId="18" fillId="2" borderId="13" xfId="1" applyFont="1" applyFill="1" applyBorder="1"/>
    <xf numFmtId="9" fontId="17" fillId="5" borderId="4" xfId="1" applyNumberFormat="1" applyFont="1" applyFill="1" applyBorder="1" applyAlignment="1">
      <alignment horizontal="centerContinuous"/>
    </xf>
    <xf numFmtId="9" fontId="17" fillId="5" borderId="3" xfId="1" applyNumberFormat="1" applyFont="1" applyFill="1" applyBorder="1" applyAlignment="1">
      <alignment horizontal="centerContinuous"/>
    </xf>
    <xf numFmtId="9" fontId="17" fillId="6" borderId="3" xfId="1" applyNumberFormat="1" applyFont="1" applyFill="1" applyBorder="1" applyAlignment="1">
      <alignment horizontal="centerContinuous"/>
    </xf>
    <xf numFmtId="9" fontId="17" fillId="6" borderId="4" xfId="1" applyNumberFormat="1" applyFont="1" applyFill="1" applyBorder="1" applyAlignment="1">
      <alignment horizontal="centerContinuous"/>
    </xf>
    <xf numFmtId="9" fontId="17" fillId="3" borderId="3" xfId="1" applyNumberFormat="1" applyFont="1" applyFill="1" applyBorder="1" applyAlignment="1">
      <alignment horizontal="centerContinuous"/>
    </xf>
    <xf numFmtId="165" fontId="17" fillId="6" borderId="4" xfId="2" applyNumberFormat="1" applyFont="1" applyFill="1" applyBorder="1" applyAlignment="1">
      <alignment horizontal="centerContinuous"/>
    </xf>
    <xf numFmtId="9" fontId="17" fillId="6" borderId="21" xfId="1" applyNumberFormat="1" applyFont="1" applyFill="1" applyBorder="1" applyAlignment="1">
      <alignment horizontal="centerContinuous"/>
    </xf>
    <xf numFmtId="0" fontId="21" fillId="3" borderId="7" xfId="0" applyFont="1" applyFill="1" applyBorder="1"/>
    <xf numFmtId="0" fontId="21" fillId="0" borderId="0" xfId="0" applyFont="1"/>
    <xf numFmtId="164" fontId="24" fillId="6" borderId="19" xfId="0" applyNumberFormat="1" applyFont="1" applyFill="1" applyBorder="1"/>
    <xf numFmtId="164" fontId="24" fillId="11" borderId="11" xfId="0" applyNumberFormat="1" applyFont="1" applyFill="1" applyBorder="1"/>
    <xf numFmtId="164" fontId="24" fillId="11" borderId="0" xfId="0" applyNumberFormat="1" applyFont="1" applyFill="1"/>
    <xf numFmtId="9" fontId="24" fillId="6" borderId="18" xfId="0" applyNumberFormat="1" applyFont="1" applyFill="1" applyBorder="1" applyAlignment="1">
      <alignment horizontal="center"/>
    </xf>
    <xf numFmtId="165" fontId="24" fillId="11" borderId="8" xfId="2" applyNumberFormat="1" applyFont="1" applyFill="1" applyBorder="1" applyAlignment="1">
      <alignment horizontal="center"/>
    </xf>
    <xf numFmtId="165" fontId="24" fillId="11" borderId="6" xfId="2" applyNumberFormat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9" fontId="17" fillId="6" borderId="21" xfId="1" applyNumberFormat="1" applyFont="1" applyFill="1" applyBorder="1" applyAlignment="1">
      <alignment horizontal="center"/>
    </xf>
    <xf numFmtId="165" fontId="17" fillId="11" borderId="21" xfId="2" applyNumberFormat="1" applyFont="1" applyFill="1" applyBorder="1" applyAlignment="1">
      <alignment horizontal="center"/>
    </xf>
    <xf numFmtId="165" fontId="24" fillId="11" borderId="18" xfId="2" applyNumberFormat="1" applyFont="1" applyFill="1" applyBorder="1" applyAlignment="1">
      <alignment horizontal="center"/>
    </xf>
    <xf numFmtId="0" fontId="23" fillId="13" borderId="16" xfId="1" applyFont="1" applyFill="1" applyBorder="1" applyAlignment="1">
      <alignment horizontal="center"/>
    </xf>
    <xf numFmtId="9" fontId="23" fillId="13" borderId="15" xfId="3" applyFont="1" applyFill="1" applyBorder="1" applyAlignment="1">
      <alignment horizontal="center"/>
    </xf>
    <xf numFmtId="0" fontId="17" fillId="14" borderId="21" xfId="1" applyFont="1" applyFill="1" applyBorder="1" applyAlignment="1">
      <alignment horizontal="center"/>
    </xf>
    <xf numFmtId="0" fontId="17" fillId="14" borderId="4" xfId="1" applyFont="1" applyFill="1" applyBorder="1" applyAlignment="1">
      <alignment horizontal="center"/>
    </xf>
    <xf numFmtId="0" fontId="17" fillId="14" borderId="17" xfId="1" applyFont="1" applyFill="1" applyBorder="1" applyAlignment="1">
      <alignment horizontal="center"/>
    </xf>
    <xf numFmtId="0" fontId="17" fillId="14" borderId="18" xfId="1" applyFont="1" applyFill="1" applyBorder="1" applyAlignment="1">
      <alignment horizontal="center"/>
    </xf>
    <xf numFmtId="0" fontId="17" fillId="14" borderId="8" xfId="1" applyFont="1" applyFill="1" applyBorder="1" applyAlignment="1">
      <alignment horizontal="center"/>
    </xf>
    <xf numFmtId="0" fontId="17" fillId="14" borderId="16" xfId="1" applyFont="1" applyFill="1" applyBorder="1" applyAlignment="1">
      <alignment horizontal="center"/>
    </xf>
    <xf numFmtId="0" fontId="17" fillId="14" borderId="21" xfId="1" applyFont="1" applyFill="1" applyBorder="1" applyAlignment="1">
      <alignment horizontal="centerContinuous"/>
    </xf>
    <xf numFmtId="0" fontId="17" fillId="14" borderId="4" xfId="1" applyFont="1" applyFill="1" applyBorder="1" applyAlignment="1">
      <alignment horizontal="centerContinuous"/>
    </xf>
    <xf numFmtId="0" fontId="17" fillId="14" borderId="17" xfId="1" applyFont="1" applyFill="1" applyBorder="1" applyAlignment="1">
      <alignment horizontal="centerContinuous"/>
    </xf>
    <xf numFmtId="164" fontId="24" fillId="14" borderId="19" xfId="0" applyNumberFormat="1" applyFont="1" applyFill="1" applyBorder="1"/>
    <xf numFmtId="164" fontId="24" fillId="14" borderId="11" xfId="0" applyNumberFormat="1" applyFont="1" applyFill="1" applyBorder="1"/>
    <xf numFmtId="164" fontId="17" fillId="14" borderId="15" xfId="0" applyNumberFormat="1" applyFont="1" applyFill="1" applyBorder="1"/>
    <xf numFmtId="9" fontId="17" fillId="14" borderId="15" xfId="3" applyFont="1" applyFill="1" applyBorder="1" applyAlignment="1">
      <alignment horizontal="center"/>
    </xf>
    <xf numFmtId="9" fontId="24" fillId="14" borderId="18" xfId="3" applyFont="1" applyFill="1" applyBorder="1" applyAlignment="1">
      <alignment horizontal="center"/>
    </xf>
    <xf numFmtId="165" fontId="24" fillId="14" borderId="8" xfId="2" applyNumberFormat="1" applyFont="1" applyFill="1" applyBorder="1" applyAlignment="1">
      <alignment horizontal="center"/>
    </xf>
    <xf numFmtId="9" fontId="17" fillId="14" borderId="21" xfId="1" applyNumberFormat="1" applyFont="1" applyFill="1" applyBorder="1" applyAlignment="1">
      <alignment horizontal="center"/>
    </xf>
    <xf numFmtId="165" fontId="17" fillId="14" borderId="21" xfId="2" applyNumberFormat="1" applyFont="1" applyFill="1" applyBorder="1" applyAlignment="1">
      <alignment horizontal="center"/>
    </xf>
    <xf numFmtId="9" fontId="24" fillId="14" borderId="18" xfId="0" applyNumberFormat="1" applyFont="1" applyFill="1" applyBorder="1" applyAlignment="1">
      <alignment horizontal="center"/>
    </xf>
    <xf numFmtId="165" fontId="24" fillId="14" borderId="18" xfId="2" applyNumberFormat="1" applyFont="1" applyFill="1" applyBorder="1" applyAlignment="1">
      <alignment horizontal="center"/>
    </xf>
    <xf numFmtId="9" fontId="17" fillId="14" borderId="18" xfId="0" applyNumberFormat="1" applyFont="1" applyFill="1" applyBorder="1" applyAlignment="1">
      <alignment horizontal="center"/>
    </xf>
    <xf numFmtId="0" fontId="16" fillId="12" borderId="0" xfId="0" applyFont="1" applyFill="1"/>
    <xf numFmtId="0" fontId="25" fillId="0" borderId="0" xfId="0" applyFont="1"/>
    <xf numFmtId="0" fontId="25" fillId="12" borderId="0" xfId="0" applyFont="1" applyFill="1"/>
    <xf numFmtId="0" fontId="19" fillId="12" borderId="0" xfId="0" applyFont="1" applyFill="1"/>
    <xf numFmtId="0" fontId="20" fillId="14" borderId="5" xfId="1" applyFont="1" applyFill="1" applyBorder="1" applyAlignment="1">
      <alignment horizontal="center"/>
    </xf>
    <xf numFmtId="0" fontId="20" fillId="14" borderId="16" xfId="1" applyFont="1" applyFill="1" applyBorder="1" applyAlignment="1">
      <alignment horizontal="center"/>
    </xf>
    <xf numFmtId="0" fontId="20" fillId="14" borderId="6" xfId="1" applyFont="1" applyFill="1" applyBorder="1" applyAlignment="1">
      <alignment horizontal="center"/>
    </xf>
    <xf numFmtId="0" fontId="26" fillId="13" borderId="6" xfId="1" applyFont="1" applyFill="1" applyBorder="1" applyAlignment="1">
      <alignment horizontal="center"/>
    </xf>
    <xf numFmtId="0" fontId="26" fillId="13" borderId="16" xfId="1" applyFont="1" applyFill="1" applyBorder="1" applyAlignment="1">
      <alignment horizontal="center"/>
    </xf>
    <xf numFmtId="0" fontId="20" fillId="14" borderId="1" xfId="1" applyFont="1" applyFill="1" applyBorder="1" applyAlignment="1">
      <alignment horizontal="centerContinuous"/>
    </xf>
    <xf numFmtId="0" fontId="20" fillId="14" borderId="17" xfId="1" applyFont="1" applyFill="1" applyBorder="1" applyAlignment="1">
      <alignment horizontal="centerContinuous"/>
    </xf>
    <xf numFmtId="0" fontId="20" fillId="14" borderId="2" xfId="1" applyFont="1" applyFill="1" applyBorder="1" applyAlignment="1">
      <alignment horizontal="centerContinuous"/>
    </xf>
    <xf numFmtId="0" fontId="27" fillId="3" borderId="10" xfId="0" applyFont="1" applyFill="1" applyBorder="1"/>
    <xf numFmtId="164" fontId="27" fillId="0" borderId="11" xfId="0" applyNumberFormat="1" applyFont="1" applyBorder="1"/>
    <xf numFmtId="0" fontId="27" fillId="5" borderId="10" xfId="0" applyFont="1" applyFill="1" applyBorder="1"/>
    <xf numFmtId="164" fontId="27" fillId="5" borderId="11" xfId="0" applyNumberFormat="1" applyFont="1" applyFill="1" applyBorder="1"/>
    <xf numFmtId="0" fontId="27" fillId="6" borderId="10" xfId="0" applyFont="1" applyFill="1" applyBorder="1"/>
    <xf numFmtId="164" fontId="27" fillId="6" borderId="11" xfId="0" applyNumberFormat="1" applyFont="1" applyFill="1" applyBorder="1"/>
    <xf numFmtId="164" fontId="27" fillId="6" borderId="0" xfId="0" applyNumberFormat="1" applyFont="1" applyFill="1"/>
    <xf numFmtId="0" fontId="27" fillId="6" borderId="9" xfId="0" applyFont="1" applyFill="1" applyBorder="1"/>
    <xf numFmtId="164" fontId="27" fillId="6" borderId="15" xfId="0" applyNumberFormat="1" applyFont="1" applyFill="1" applyBorder="1"/>
    <xf numFmtId="0" fontId="27" fillId="0" borderId="10" xfId="0" applyFont="1" applyBorder="1"/>
    <xf numFmtId="0" fontId="20" fillId="2" borderId="5" xfId="1" applyFont="1" applyFill="1" applyBorder="1"/>
    <xf numFmtId="0" fontId="27" fillId="0" borderId="7" xfId="0" applyFont="1" applyBorder="1"/>
    <xf numFmtId="164" fontId="27" fillId="0" borderId="8" xfId="0" applyNumberFormat="1" applyFont="1" applyBorder="1"/>
    <xf numFmtId="0" fontId="27" fillId="5" borderId="7" xfId="0" applyFont="1" applyFill="1" applyBorder="1"/>
    <xf numFmtId="164" fontId="27" fillId="5" borderId="8" xfId="0" applyNumberFormat="1" applyFont="1" applyFill="1" applyBorder="1"/>
    <xf numFmtId="0" fontId="27" fillId="6" borderId="7" xfId="0" applyFont="1" applyFill="1" applyBorder="1"/>
    <xf numFmtId="164" fontId="27" fillId="6" borderId="8" xfId="0" applyNumberFormat="1" applyFont="1" applyFill="1" applyBorder="1"/>
    <xf numFmtId="164" fontId="27" fillId="6" borderId="6" xfId="0" applyNumberFormat="1" applyFont="1" applyFill="1" applyBorder="1"/>
    <xf numFmtId="0" fontId="27" fillId="6" borderId="5" xfId="0" applyFont="1" applyFill="1" applyBorder="1"/>
    <xf numFmtId="164" fontId="27" fillId="6" borderId="16" xfId="0" applyNumberFormat="1" applyFont="1" applyFill="1" applyBorder="1"/>
    <xf numFmtId="0" fontId="20" fillId="2" borderId="12" xfId="1" applyFont="1" applyFill="1" applyBorder="1"/>
    <xf numFmtId="0" fontId="20" fillId="2" borderId="13" xfId="1" applyFont="1" applyFill="1" applyBorder="1"/>
    <xf numFmtId="0" fontId="27" fillId="3" borderId="7" xfId="0" applyFont="1" applyFill="1" applyBorder="1"/>
    <xf numFmtId="0" fontId="20" fillId="12" borderId="12" xfId="1" applyFont="1" applyFill="1" applyBorder="1"/>
    <xf numFmtId="0" fontId="20" fillId="12" borderId="13" xfId="0" applyFont="1" applyFill="1" applyBorder="1" applyAlignment="1">
      <alignment horizontal="right"/>
    </xf>
    <xf numFmtId="164" fontId="27" fillId="12" borderId="13" xfId="0" applyNumberFormat="1" applyFont="1" applyFill="1" applyBorder="1"/>
    <xf numFmtId="0" fontId="27" fillId="12" borderId="13" xfId="0" applyFont="1" applyFill="1" applyBorder="1"/>
    <xf numFmtId="0" fontId="20" fillId="2" borderId="10" xfId="1" applyFont="1" applyFill="1" applyBorder="1" applyAlignment="1">
      <alignment horizontal="centerContinuous"/>
    </xf>
    <xf numFmtId="0" fontId="20" fillId="2" borderId="11" xfId="1" applyFont="1" applyFill="1" applyBorder="1" applyAlignment="1">
      <alignment horizontal="centerContinuous"/>
    </xf>
    <xf numFmtId="0" fontId="20" fillId="5" borderId="10" xfId="1" applyFont="1" applyFill="1" applyBorder="1" applyAlignment="1">
      <alignment horizontal="centerContinuous"/>
    </xf>
    <xf numFmtId="0" fontId="20" fillId="5" borderId="11" xfId="1" applyFont="1" applyFill="1" applyBorder="1" applyAlignment="1">
      <alignment horizontal="centerContinuous"/>
    </xf>
    <xf numFmtId="0" fontId="20" fillId="6" borderId="10" xfId="1" applyFont="1" applyFill="1" applyBorder="1" applyAlignment="1">
      <alignment horizontal="centerContinuous"/>
    </xf>
    <xf numFmtId="0" fontId="20" fillId="6" borderId="11" xfId="1" applyFont="1" applyFill="1" applyBorder="1" applyAlignment="1">
      <alignment horizontal="centerContinuous"/>
    </xf>
    <xf numFmtId="0" fontId="20" fillId="6" borderId="0" xfId="1" applyFont="1" applyFill="1" applyAlignment="1">
      <alignment horizontal="centerContinuous"/>
    </xf>
    <xf numFmtId="0" fontId="20" fillId="6" borderId="9" xfId="1" applyFont="1" applyFill="1" applyBorder="1" applyAlignment="1">
      <alignment horizontal="centerContinuous"/>
    </xf>
    <xf numFmtId="0" fontId="20" fillId="6" borderId="15" xfId="1" applyFont="1" applyFill="1" applyBorder="1" applyAlignment="1">
      <alignment horizontal="centerContinuous"/>
    </xf>
    <xf numFmtId="0" fontId="20" fillId="14" borderId="9" xfId="1" applyFont="1" applyFill="1" applyBorder="1" applyAlignment="1">
      <alignment horizontal="centerContinuous"/>
    </xf>
    <xf numFmtId="0" fontId="20" fillId="14" borderId="15" xfId="1" applyFont="1" applyFill="1" applyBorder="1" applyAlignment="1">
      <alignment horizontal="centerContinuous"/>
    </xf>
    <xf numFmtId="0" fontId="26" fillId="12" borderId="13" xfId="0" applyFont="1" applyFill="1" applyBorder="1"/>
    <xf numFmtId="0" fontId="27" fillId="14" borderId="9" xfId="0" applyFont="1" applyFill="1" applyBorder="1" applyAlignment="1">
      <alignment horizontal="center"/>
    </xf>
    <xf numFmtId="164" fontId="27" fillId="14" borderId="15" xfId="0" applyNumberFormat="1" applyFont="1" applyFill="1" applyBorder="1" applyAlignment="1">
      <alignment horizontal="center"/>
    </xf>
    <xf numFmtId="0" fontId="26" fillId="13" borderId="0" xfId="0" applyFont="1" applyFill="1" applyAlignment="1">
      <alignment horizontal="center"/>
    </xf>
    <xf numFmtId="164" fontId="26" fillId="13" borderId="15" xfId="0" applyNumberFormat="1" applyFont="1" applyFill="1" applyBorder="1" applyAlignment="1">
      <alignment horizontal="center"/>
    </xf>
    <xf numFmtId="0" fontId="27" fillId="14" borderId="5" xfId="0" applyFont="1" applyFill="1" applyBorder="1" applyAlignment="1">
      <alignment horizontal="center"/>
    </xf>
    <xf numFmtId="164" fontId="27" fillId="14" borderId="16" xfId="0" applyNumberFormat="1" applyFont="1" applyFill="1" applyBorder="1" applyAlignment="1">
      <alignment horizontal="center"/>
    </xf>
    <xf numFmtId="0" fontId="26" fillId="13" borderId="6" xfId="0" applyFont="1" applyFill="1" applyBorder="1" applyAlignment="1">
      <alignment horizontal="center"/>
    </xf>
    <xf numFmtId="0" fontId="27" fillId="14" borderId="9" xfId="3" applyNumberFormat="1" applyFont="1" applyFill="1" applyBorder="1" applyAlignment="1">
      <alignment horizontal="center"/>
    </xf>
    <xf numFmtId="0" fontId="27" fillId="14" borderId="5" xfId="3" applyNumberFormat="1" applyFont="1" applyFill="1" applyBorder="1" applyAlignment="1">
      <alignment horizontal="center"/>
    </xf>
    <xf numFmtId="0" fontId="26" fillId="13" borderId="9" xfId="0" applyFont="1" applyFill="1" applyBorder="1" applyAlignment="1">
      <alignment horizontal="center"/>
    </xf>
    <xf numFmtId="0" fontId="18" fillId="12" borderId="0" xfId="1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21" fillId="12" borderId="0" xfId="0" applyFont="1" applyFill="1"/>
    <xf numFmtId="0" fontId="17" fillId="2" borderId="17" xfId="1" applyFont="1" applyFill="1" applyBorder="1" applyAlignment="1">
      <alignment horizontal="centerContinuous"/>
    </xf>
    <xf numFmtId="0" fontId="17" fillId="2" borderId="16" xfId="1" applyFont="1" applyFill="1" applyBorder="1" applyAlignment="1">
      <alignment horizontal="center"/>
    </xf>
    <xf numFmtId="9" fontId="21" fillId="10" borderId="26" xfId="3" applyFont="1" applyFill="1" applyBorder="1" applyAlignment="1">
      <alignment horizontal="center"/>
    </xf>
    <xf numFmtId="9" fontId="21" fillId="10" borderId="2" xfId="3" applyFont="1" applyFill="1" applyBorder="1" applyAlignment="1">
      <alignment horizontal="center"/>
    </xf>
    <xf numFmtId="165" fontId="17" fillId="6" borderId="5" xfId="2" applyNumberFormat="1" applyFont="1" applyFill="1" applyBorder="1"/>
    <xf numFmtId="165" fontId="17" fillId="6" borderId="6" xfId="2" applyNumberFormat="1" applyFont="1" applyFill="1" applyBorder="1"/>
    <xf numFmtId="0" fontId="17" fillId="2" borderId="13" xfId="1" applyFont="1" applyFill="1" applyBorder="1"/>
    <xf numFmtId="0" fontId="17" fillId="6" borderId="1" xfId="1" applyFont="1" applyFill="1" applyBorder="1"/>
    <xf numFmtId="0" fontId="17" fillId="6" borderId="2" xfId="1" applyFont="1" applyFill="1" applyBorder="1"/>
    <xf numFmtId="9" fontId="21" fillId="0" borderId="0" xfId="3" applyFont="1"/>
    <xf numFmtId="9" fontId="21" fillId="12" borderId="0" xfId="3" applyFont="1" applyFill="1"/>
    <xf numFmtId="165" fontId="17" fillId="10" borderId="27" xfId="2" applyNumberFormat="1" applyFont="1" applyFill="1" applyBorder="1" applyAlignment="1">
      <alignment horizontal="center"/>
    </xf>
    <xf numFmtId="165" fontId="17" fillId="10" borderId="6" xfId="2" applyNumberFormat="1" applyFont="1" applyFill="1" applyBorder="1" applyAlignment="1">
      <alignment horizontal="center"/>
    </xf>
    <xf numFmtId="0" fontId="23" fillId="13" borderId="23" xfId="1" applyFont="1" applyFill="1" applyBorder="1" applyAlignment="1">
      <alignment horizontal="center"/>
    </xf>
    <xf numFmtId="0" fontId="23" fillId="13" borderId="8" xfId="1" applyFont="1" applyFill="1" applyBorder="1" applyAlignment="1">
      <alignment horizontal="center"/>
    </xf>
    <xf numFmtId="9" fontId="22" fillId="13" borderId="26" xfId="3" applyFont="1" applyFill="1" applyBorder="1" applyAlignment="1">
      <alignment horizontal="center"/>
    </xf>
    <xf numFmtId="9" fontId="22" fillId="13" borderId="2" xfId="3" applyFont="1" applyFill="1" applyBorder="1" applyAlignment="1">
      <alignment horizontal="center"/>
    </xf>
    <xf numFmtId="9" fontId="22" fillId="13" borderId="17" xfId="3" applyFont="1" applyFill="1" applyBorder="1" applyAlignment="1">
      <alignment horizontal="center"/>
    </xf>
    <xf numFmtId="165" fontId="23" fillId="13" borderId="25" xfId="2" applyNumberFormat="1" applyFont="1" applyFill="1" applyBorder="1" applyAlignment="1">
      <alignment horizontal="center"/>
    </xf>
    <xf numFmtId="165" fontId="23" fillId="13" borderId="0" xfId="2" applyNumberFormat="1" applyFont="1" applyFill="1" applyBorder="1" applyAlignment="1">
      <alignment horizontal="center"/>
    </xf>
    <xf numFmtId="165" fontId="23" fillId="13" borderId="27" xfId="2" applyNumberFormat="1" applyFont="1" applyFill="1" applyBorder="1" applyAlignment="1">
      <alignment horizontal="center"/>
    </xf>
    <xf numFmtId="165" fontId="23" fillId="13" borderId="6" xfId="2" applyNumberFormat="1" applyFont="1" applyFill="1" applyBorder="1" applyAlignment="1">
      <alignment horizontal="center"/>
    </xf>
    <xf numFmtId="9" fontId="23" fillId="13" borderId="16" xfId="3" applyFont="1" applyFill="1" applyBorder="1" applyAlignment="1">
      <alignment horizontal="center"/>
    </xf>
    <xf numFmtId="9" fontId="17" fillId="14" borderId="14" xfId="3" applyFont="1" applyFill="1" applyBorder="1" applyAlignment="1">
      <alignment horizontal="center"/>
    </xf>
    <xf numFmtId="0" fontId="17" fillId="14" borderId="12" xfId="1" applyFont="1" applyFill="1" applyBorder="1" applyAlignment="1">
      <alignment horizontal="center"/>
    </xf>
    <xf numFmtId="0" fontId="17" fillId="14" borderId="13" xfId="1" applyFont="1" applyFill="1" applyBorder="1" applyAlignment="1">
      <alignment horizontal="center"/>
    </xf>
    <xf numFmtId="9" fontId="17" fillId="14" borderId="22" xfId="3" applyFont="1" applyFill="1" applyBorder="1" applyAlignment="1">
      <alignment horizontal="center"/>
    </xf>
    <xf numFmtId="9" fontId="17" fillId="14" borderId="21" xfId="3" applyFont="1" applyFill="1" applyBorder="1" applyAlignment="1">
      <alignment horizontal="center"/>
    </xf>
    <xf numFmtId="0" fontId="17" fillId="14" borderId="1" xfId="1" applyFont="1" applyFill="1" applyBorder="1" applyAlignment="1">
      <alignment horizontal="center"/>
    </xf>
    <xf numFmtId="0" fontId="17" fillId="14" borderId="2" xfId="1" applyFont="1" applyFill="1" applyBorder="1" applyAlignment="1">
      <alignment horizontal="center"/>
    </xf>
    <xf numFmtId="9" fontId="17" fillId="14" borderId="17" xfId="3" applyFont="1" applyFill="1" applyBorder="1" applyAlignment="1">
      <alignment horizontal="center"/>
    </xf>
    <xf numFmtId="165" fontId="17" fillId="14" borderId="0" xfId="2" applyNumberFormat="1" applyFont="1" applyFill="1" applyBorder="1" applyAlignment="1">
      <alignment horizontal="center"/>
    </xf>
    <xf numFmtId="9" fontId="17" fillId="14" borderId="18" xfId="3" applyFont="1" applyFill="1" applyBorder="1" applyAlignment="1">
      <alignment horizontal="center"/>
    </xf>
    <xf numFmtId="165" fontId="17" fillId="14" borderId="5" xfId="2" applyNumberFormat="1" applyFont="1" applyFill="1" applyBorder="1" applyAlignment="1">
      <alignment horizontal="center"/>
    </xf>
    <xf numFmtId="165" fontId="17" fillId="14" borderId="6" xfId="2" applyNumberFormat="1" applyFont="1" applyFill="1" applyBorder="1" applyAlignment="1">
      <alignment horizontal="center"/>
    </xf>
    <xf numFmtId="9" fontId="17" fillId="14" borderId="16" xfId="3" applyFont="1" applyFill="1" applyBorder="1" applyAlignment="1">
      <alignment horizontal="center"/>
    </xf>
    <xf numFmtId="0" fontId="21" fillId="14" borderId="9" xfId="0" applyFont="1" applyFill="1" applyBorder="1"/>
    <xf numFmtId="0" fontId="21" fillId="14" borderId="0" xfId="0" applyFont="1" applyFill="1"/>
    <xf numFmtId="9" fontId="21" fillId="14" borderId="19" xfId="3" applyFont="1" applyFill="1" applyBorder="1"/>
    <xf numFmtId="0" fontId="21" fillId="14" borderId="21" xfId="0" applyFont="1" applyFill="1" applyBorder="1"/>
    <xf numFmtId="0" fontId="21" fillId="14" borderId="2" xfId="0" applyFont="1" applyFill="1" applyBorder="1"/>
    <xf numFmtId="9" fontId="21" fillId="14" borderId="21" xfId="3" applyFont="1" applyFill="1" applyBorder="1"/>
    <xf numFmtId="0" fontId="21" fillId="14" borderId="15" xfId="0" applyFont="1" applyFill="1" applyBorder="1"/>
    <xf numFmtId="0" fontId="21" fillId="14" borderId="1" xfId="0" applyFont="1" applyFill="1" applyBorder="1"/>
    <xf numFmtId="9" fontId="21" fillId="14" borderId="9" xfId="3" applyFont="1" applyFill="1" applyBorder="1"/>
    <xf numFmtId="0" fontId="17" fillId="14" borderId="6" xfId="1" applyFont="1" applyFill="1" applyBorder="1" applyAlignment="1">
      <alignment horizontal="center"/>
    </xf>
    <xf numFmtId="0" fontId="17" fillId="14" borderId="2" xfId="1" applyFont="1" applyFill="1" applyBorder="1" applyAlignment="1">
      <alignment horizontal="centerContinuous"/>
    </xf>
    <xf numFmtId="165" fontId="24" fillId="14" borderId="6" xfId="2" applyNumberFormat="1" applyFont="1" applyFill="1" applyBorder="1" applyAlignment="1">
      <alignment horizontal="center"/>
    </xf>
    <xf numFmtId="0" fontId="20" fillId="14" borderId="0" xfId="0" applyFont="1" applyFill="1" applyAlignment="1">
      <alignment horizontal="center"/>
    </xf>
    <xf numFmtId="164" fontId="20" fillId="14" borderId="15" xfId="0" applyNumberFormat="1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14" borderId="0" xfId="1" applyFont="1" applyFill="1" applyAlignment="1">
      <alignment horizontal="centerContinuous"/>
    </xf>
    <xf numFmtId="0" fontId="20" fillId="14" borderId="6" xfId="0" applyFont="1" applyFill="1" applyBorder="1" applyAlignment="1">
      <alignment horizontal="center"/>
    </xf>
    <xf numFmtId="164" fontId="20" fillId="14" borderId="16" xfId="0" applyNumberFormat="1" applyFont="1" applyFill="1" applyBorder="1" applyAlignment="1">
      <alignment horizontal="center"/>
    </xf>
    <xf numFmtId="165" fontId="17" fillId="14" borderId="27" xfId="2" applyNumberFormat="1" applyFont="1" applyFill="1" applyBorder="1" applyAlignment="1">
      <alignment horizontal="center"/>
    </xf>
    <xf numFmtId="0" fontId="17" fillId="14" borderId="24" xfId="1" applyFont="1" applyFill="1" applyBorder="1" applyAlignment="1">
      <alignment horizontal="center"/>
    </xf>
    <xf numFmtId="0" fontId="17" fillId="14" borderId="23" xfId="1" applyFont="1" applyFill="1" applyBorder="1" applyAlignment="1">
      <alignment horizontal="center"/>
    </xf>
    <xf numFmtId="9" fontId="18" fillId="14" borderId="26" xfId="3" applyFont="1" applyFill="1" applyBorder="1" applyAlignment="1">
      <alignment horizontal="center"/>
    </xf>
    <xf numFmtId="9" fontId="18" fillId="14" borderId="2" xfId="3" applyFont="1" applyFill="1" applyBorder="1" applyAlignment="1">
      <alignment horizontal="center"/>
    </xf>
    <xf numFmtId="9" fontId="18" fillId="14" borderId="21" xfId="3" applyFont="1" applyFill="1" applyBorder="1" applyAlignment="1">
      <alignment horizontal="center"/>
    </xf>
    <xf numFmtId="9" fontId="18" fillId="14" borderId="17" xfId="3" applyFont="1" applyFill="1" applyBorder="1" applyAlignment="1">
      <alignment horizontal="center"/>
    </xf>
    <xf numFmtId="0" fontId="17" fillId="14" borderId="14" xfId="1" applyFont="1" applyFill="1" applyBorder="1" applyAlignment="1">
      <alignment horizontal="center"/>
    </xf>
    <xf numFmtId="0" fontId="20" fillId="14" borderId="5" xfId="0" applyFont="1" applyFill="1" applyBorder="1" applyAlignment="1">
      <alignment horizontal="center"/>
    </xf>
    <xf numFmtId="164" fontId="17" fillId="14" borderId="19" xfId="0" applyNumberFormat="1" applyFont="1" applyFill="1" applyBorder="1"/>
    <xf numFmtId="0" fontId="7" fillId="2" borderId="2" xfId="0" applyFont="1" applyFill="1" applyBorder="1" applyAlignment="1">
      <alignment horizontal="right"/>
    </xf>
    <xf numFmtId="0" fontId="0" fillId="6" borderId="7" xfId="0" applyFill="1" applyBorder="1" applyAlignment="1">
      <alignment horizontal="right"/>
    </xf>
    <xf numFmtId="0" fontId="13" fillId="0" borderId="0" xfId="0" applyFont="1"/>
    <xf numFmtId="0" fontId="17" fillId="14" borderId="28" xfId="1" applyFont="1" applyFill="1" applyBorder="1" applyAlignment="1">
      <alignment horizontal="center"/>
    </xf>
    <xf numFmtId="0" fontId="17" fillId="14" borderId="22" xfId="1" applyFont="1" applyFill="1" applyBorder="1" applyAlignment="1">
      <alignment horizontal="center"/>
    </xf>
    <xf numFmtId="0" fontId="18" fillId="2" borderId="0" xfId="0" applyFont="1" applyFill="1" applyAlignment="1">
      <alignment horizontal="right"/>
    </xf>
    <xf numFmtId="9" fontId="21" fillId="6" borderId="19" xfId="0" applyNumberFormat="1" applyFont="1" applyFill="1" applyBorder="1" applyAlignment="1">
      <alignment horizontal="center"/>
    </xf>
    <xf numFmtId="165" fontId="21" fillId="11" borderId="11" xfId="2" applyNumberFormat="1" applyFont="1" applyFill="1" applyBorder="1" applyAlignment="1">
      <alignment horizontal="center"/>
    </xf>
    <xf numFmtId="165" fontId="21" fillId="11" borderId="0" xfId="2" applyNumberFormat="1" applyFont="1" applyFill="1" applyBorder="1" applyAlignment="1">
      <alignment horizontal="center"/>
    </xf>
    <xf numFmtId="9" fontId="21" fillId="14" borderId="19" xfId="3" applyFont="1" applyFill="1" applyBorder="1" applyAlignment="1">
      <alignment horizontal="center"/>
    </xf>
    <xf numFmtId="165" fontId="21" fillId="14" borderId="11" xfId="2" applyNumberFormat="1" applyFont="1" applyFill="1" applyBorder="1" applyAlignment="1">
      <alignment horizontal="center"/>
    </xf>
    <xf numFmtId="165" fontId="21" fillId="14" borderId="0" xfId="2" applyNumberFormat="1" applyFont="1" applyFill="1" applyBorder="1" applyAlignment="1">
      <alignment horizontal="center"/>
    </xf>
    <xf numFmtId="9" fontId="18" fillId="14" borderId="19" xfId="3" applyFont="1" applyFill="1" applyBorder="1" applyAlignment="1">
      <alignment horizontal="center"/>
    </xf>
    <xf numFmtId="9" fontId="18" fillId="14" borderId="15" xfId="3" applyFont="1" applyFill="1" applyBorder="1" applyAlignment="1">
      <alignment horizontal="center"/>
    </xf>
    <xf numFmtId="43" fontId="18" fillId="14" borderId="19" xfId="2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29" fillId="12" borderId="0" xfId="0" applyFont="1" applyFill="1"/>
    <xf numFmtId="0" fontId="29" fillId="0" borderId="0" xfId="0" applyFont="1"/>
    <xf numFmtId="165" fontId="21" fillId="11" borderId="19" xfId="2" applyNumberFormat="1" applyFont="1" applyFill="1" applyBorder="1" applyAlignment="1">
      <alignment horizontal="center"/>
    </xf>
    <xf numFmtId="9" fontId="21" fillId="14" borderId="19" xfId="0" applyNumberFormat="1" applyFont="1" applyFill="1" applyBorder="1" applyAlignment="1">
      <alignment horizontal="center"/>
    </xf>
    <xf numFmtId="165" fontId="21" fillId="14" borderId="19" xfId="2" applyNumberFormat="1" applyFont="1" applyFill="1" applyBorder="1" applyAlignment="1">
      <alignment horizontal="center"/>
    </xf>
    <xf numFmtId="9" fontId="18" fillId="14" borderId="19" xfId="0" applyNumberFormat="1" applyFont="1" applyFill="1" applyBorder="1" applyAlignment="1">
      <alignment horizontal="center"/>
    </xf>
    <xf numFmtId="165" fontId="18" fillId="14" borderId="9" xfId="2" applyNumberFormat="1" applyFont="1" applyFill="1" applyBorder="1" applyAlignment="1"/>
    <xf numFmtId="165" fontId="18" fillId="14" borderId="0" xfId="2" applyNumberFormat="1" applyFont="1" applyFill="1" applyBorder="1" applyAlignment="1"/>
    <xf numFmtId="165" fontId="18" fillId="14" borderId="9" xfId="2" applyNumberFormat="1" applyFont="1" applyFill="1" applyBorder="1" applyAlignment="1">
      <alignment horizontal="center"/>
    </xf>
    <xf numFmtId="165" fontId="18" fillId="14" borderId="0" xfId="2" applyNumberFormat="1" applyFont="1" applyFill="1" applyBorder="1" applyAlignment="1">
      <alignment horizontal="center"/>
    </xf>
    <xf numFmtId="9" fontId="18" fillId="14" borderId="9" xfId="3" applyFont="1" applyFill="1" applyBorder="1" applyAlignment="1">
      <alignment horizontal="center"/>
    </xf>
    <xf numFmtId="165" fontId="18" fillId="14" borderId="25" xfId="2" applyNumberFormat="1" applyFont="1" applyFill="1" applyBorder="1" applyAlignment="1">
      <alignment horizontal="center"/>
    </xf>
    <xf numFmtId="9" fontId="18" fillId="14" borderId="0" xfId="3" applyFont="1" applyFill="1" applyBorder="1" applyAlignment="1">
      <alignment horizontal="center"/>
    </xf>
    <xf numFmtId="165" fontId="18" fillId="14" borderId="9" xfId="2" applyNumberFormat="1" applyFont="1" applyFill="1" applyBorder="1"/>
    <xf numFmtId="165" fontId="18" fillId="14" borderId="0" xfId="2" applyNumberFormat="1" applyFont="1" applyFill="1" applyBorder="1"/>
    <xf numFmtId="165" fontId="18" fillId="14" borderId="9" xfId="2" applyNumberFormat="1" applyFont="1" applyFill="1" applyBorder="1" applyAlignment="1">
      <alignment horizontal="right"/>
    </xf>
    <xf numFmtId="165" fontId="18" fillId="14" borderId="0" xfId="2" applyNumberFormat="1" applyFont="1" applyFill="1" applyBorder="1" applyAlignment="1">
      <alignment horizontal="right"/>
    </xf>
    <xf numFmtId="0" fontId="18" fillId="2" borderId="6" xfId="0" applyFont="1" applyFill="1" applyBorder="1" applyAlignment="1">
      <alignment horizontal="right"/>
    </xf>
    <xf numFmtId="165" fontId="18" fillId="14" borderId="5" xfId="2" applyNumberFormat="1" applyFont="1" applyFill="1" applyBorder="1"/>
    <xf numFmtId="165" fontId="18" fillId="14" borderId="6" xfId="2" applyNumberFormat="1" applyFont="1" applyFill="1" applyBorder="1"/>
    <xf numFmtId="9" fontId="18" fillId="14" borderId="18" xfId="3" applyFont="1" applyFill="1" applyBorder="1" applyAlignment="1">
      <alignment horizontal="center"/>
    </xf>
    <xf numFmtId="165" fontId="18" fillId="14" borderId="5" xfId="2" applyNumberFormat="1" applyFont="1" applyFill="1" applyBorder="1" applyAlignment="1">
      <alignment horizontal="center"/>
    </xf>
    <xf numFmtId="165" fontId="18" fillId="14" borderId="6" xfId="2" applyNumberFormat="1" applyFont="1" applyFill="1" applyBorder="1" applyAlignment="1">
      <alignment horizontal="center"/>
    </xf>
    <xf numFmtId="9" fontId="18" fillId="14" borderId="5" xfId="3" applyFont="1" applyFill="1" applyBorder="1" applyAlignment="1">
      <alignment horizontal="center"/>
    </xf>
    <xf numFmtId="165" fontId="18" fillId="14" borderId="27" xfId="2" applyNumberFormat="1" applyFont="1" applyFill="1" applyBorder="1" applyAlignment="1">
      <alignment horizontal="center"/>
    </xf>
    <xf numFmtId="9" fontId="18" fillId="14" borderId="16" xfId="3" applyFont="1" applyFill="1" applyBorder="1" applyAlignment="1">
      <alignment horizontal="center"/>
    </xf>
    <xf numFmtId="9" fontId="18" fillId="14" borderId="6" xfId="3" applyFont="1" applyFill="1" applyBorder="1" applyAlignment="1">
      <alignment horizontal="center"/>
    </xf>
    <xf numFmtId="165" fontId="18" fillId="6" borderId="9" xfId="2" applyNumberFormat="1" applyFont="1" applyFill="1" applyBorder="1" applyAlignment="1"/>
    <xf numFmtId="165" fontId="18" fillId="6" borderId="0" xfId="2" applyNumberFormat="1" applyFont="1" applyFill="1" applyBorder="1" applyAlignment="1"/>
    <xf numFmtId="165" fontId="18" fillId="10" borderId="25" xfId="2" applyNumberFormat="1" applyFont="1" applyFill="1" applyBorder="1" applyAlignment="1">
      <alignment horizontal="center"/>
    </xf>
    <xf numFmtId="165" fontId="18" fillId="10" borderId="0" xfId="2" applyNumberFormat="1" applyFont="1" applyFill="1" applyBorder="1" applyAlignment="1">
      <alignment horizontal="center"/>
    </xf>
    <xf numFmtId="165" fontId="18" fillId="6" borderId="9" xfId="2" applyNumberFormat="1" applyFont="1" applyFill="1" applyBorder="1"/>
    <xf numFmtId="165" fontId="18" fillId="6" borderId="0" xfId="2" applyNumberFormat="1" applyFont="1" applyFill="1" applyBorder="1"/>
    <xf numFmtId="165" fontId="18" fillId="6" borderId="9" xfId="2" applyNumberFormat="1" applyFont="1" applyFill="1" applyBorder="1" applyAlignment="1">
      <alignment horizontal="right"/>
    </xf>
    <xf numFmtId="165" fontId="18" fillId="6" borderId="0" xfId="2" applyNumberFormat="1" applyFont="1" applyFill="1" applyBorder="1" applyAlignment="1">
      <alignment horizontal="right"/>
    </xf>
    <xf numFmtId="165" fontId="18" fillId="6" borderId="5" xfId="2" applyNumberFormat="1" applyFont="1" applyFill="1" applyBorder="1"/>
    <xf numFmtId="165" fontId="18" fillId="6" borderId="6" xfId="2" applyNumberFormat="1" applyFont="1" applyFill="1" applyBorder="1"/>
    <xf numFmtId="165" fontId="18" fillId="10" borderId="27" xfId="2" applyNumberFormat="1" applyFont="1" applyFill="1" applyBorder="1" applyAlignment="1">
      <alignment horizontal="center"/>
    </xf>
    <xf numFmtId="165" fontId="18" fillId="10" borderId="6" xfId="2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quotePrefix="1" applyFont="1" applyAlignment="1">
      <alignment horizontal="center"/>
    </xf>
    <xf numFmtId="0" fontId="23" fillId="13" borderId="29" xfId="1" applyFont="1" applyFill="1" applyBorder="1" applyAlignment="1">
      <alignment horizontal="center"/>
    </xf>
    <xf numFmtId="9" fontId="22" fillId="13" borderId="4" xfId="3" applyFont="1" applyFill="1" applyBorder="1" applyAlignment="1">
      <alignment horizontal="center"/>
    </xf>
    <xf numFmtId="165" fontId="23" fillId="13" borderId="11" xfId="2" applyNumberFormat="1" applyFont="1" applyFill="1" applyBorder="1" applyAlignment="1">
      <alignment horizontal="center"/>
    </xf>
    <xf numFmtId="165" fontId="23" fillId="13" borderId="8" xfId="2" applyNumberFormat="1" applyFont="1" applyFill="1" applyBorder="1" applyAlignment="1">
      <alignment horizontal="center"/>
    </xf>
    <xf numFmtId="0" fontId="17" fillId="14" borderId="33" xfId="1" applyFont="1" applyFill="1" applyBorder="1" applyAlignment="1">
      <alignment horizontal="center"/>
    </xf>
    <xf numFmtId="0" fontId="17" fillId="14" borderId="34" xfId="1" applyFont="1" applyFill="1" applyBorder="1" applyAlignment="1">
      <alignment horizontal="center"/>
    </xf>
    <xf numFmtId="9" fontId="18" fillId="14" borderId="35" xfId="3" applyFont="1" applyFill="1" applyBorder="1" applyAlignment="1">
      <alignment horizontal="center"/>
    </xf>
    <xf numFmtId="9" fontId="18" fillId="14" borderId="36" xfId="3" applyFont="1" applyFill="1" applyBorder="1" applyAlignment="1">
      <alignment horizontal="center"/>
    </xf>
    <xf numFmtId="165" fontId="18" fillId="14" borderId="37" xfId="2" applyNumberFormat="1" applyFont="1" applyFill="1" applyBorder="1" applyAlignment="1">
      <alignment horizontal="center"/>
    </xf>
    <xf numFmtId="9" fontId="18" fillId="14" borderId="38" xfId="3" applyFont="1" applyFill="1" applyBorder="1" applyAlignment="1">
      <alignment horizontal="center"/>
    </xf>
    <xf numFmtId="165" fontId="18" fillId="14" borderId="39" xfId="2" applyNumberFormat="1" applyFont="1" applyFill="1" applyBorder="1" applyAlignment="1">
      <alignment horizontal="center"/>
    </xf>
    <xf numFmtId="9" fontId="18" fillId="14" borderId="34" xfId="3" applyFont="1" applyFill="1" applyBorder="1" applyAlignment="1">
      <alignment horizontal="center"/>
    </xf>
    <xf numFmtId="0" fontId="26" fillId="13" borderId="17" xfId="1" applyFont="1" applyFill="1" applyBorder="1" applyAlignment="1">
      <alignment horizontal="center"/>
    </xf>
    <xf numFmtId="0" fontId="23" fillId="13" borderId="22" xfId="1" applyFont="1" applyFill="1" applyBorder="1" applyAlignment="1">
      <alignment horizontal="center"/>
    </xf>
    <xf numFmtId="0" fontId="23" fillId="15" borderId="17" xfId="1" applyFont="1" applyFill="1" applyBorder="1" applyAlignment="1">
      <alignment horizontal="center"/>
    </xf>
    <xf numFmtId="0" fontId="23" fillId="15" borderId="16" xfId="1" applyFont="1" applyFill="1" applyBorder="1" applyAlignment="1">
      <alignment horizontal="center"/>
    </xf>
    <xf numFmtId="0" fontId="23" fillId="15" borderId="17" xfId="1" applyFont="1" applyFill="1" applyBorder="1" applyAlignment="1">
      <alignment horizontal="centerContinuous"/>
    </xf>
    <xf numFmtId="164" fontId="23" fillId="15" borderId="15" xfId="0" applyNumberFormat="1" applyFont="1" applyFill="1" applyBorder="1"/>
    <xf numFmtId="9" fontId="23" fillId="15" borderId="15" xfId="3" applyFont="1" applyFill="1" applyBorder="1" applyAlignment="1">
      <alignment horizontal="center"/>
    </xf>
    <xf numFmtId="9" fontId="17" fillId="15" borderId="21" xfId="1" applyNumberFormat="1" applyFont="1" applyFill="1" applyBorder="1" applyAlignment="1">
      <alignment horizontal="center"/>
    </xf>
    <xf numFmtId="9" fontId="23" fillId="15" borderId="19" xfId="0" applyNumberFormat="1" applyFont="1" applyFill="1" applyBorder="1" applyAlignment="1">
      <alignment horizontal="center"/>
    </xf>
    <xf numFmtId="9" fontId="23" fillId="15" borderId="18" xfId="0" applyNumberFormat="1" applyFont="1" applyFill="1" applyBorder="1" applyAlignment="1">
      <alignment horizontal="center"/>
    </xf>
    <xf numFmtId="0" fontId="26" fillId="13" borderId="2" xfId="1" applyFont="1" applyFill="1" applyBorder="1" applyAlignment="1">
      <alignment horizontal="center"/>
    </xf>
    <xf numFmtId="0" fontId="26" fillId="13" borderId="0" xfId="1" applyFont="1" applyFill="1" applyAlignment="1">
      <alignment horizontal="center"/>
    </xf>
    <xf numFmtId="0" fontId="26" fillId="13" borderId="15" xfId="1" applyFont="1" applyFill="1" applyBorder="1" applyAlignment="1">
      <alignment horizontal="center"/>
    </xf>
    <xf numFmtId="0" fontId="11" fillId="6" borderId="6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Continuous"/>
    </xf>
    <xf numFmtId="164" fontId="4" fillId="6" borderId="6" xfId="0" applyNumberFormat="1" applyFont="1" applyFill="1" applyBorder="1"/>
    <xf numFmtId="0" fontId="12" fillId="6" borderId="2" xfId="1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0" fontId="11" fillId="6" borderId="5" xfId="1" applyFont="1" applyFill="1" applyBorder="1" applyAlignment="1">
      <alignment horizontal="center"/>
    </xf>
    <xf numFmtId="0" fontId="11" fillId="6" borderId="16" xfId="1" applyFont="1" applyFill="1" applyBorder="1" applyAlignment="1">
      <alignment horizontal="center"/>
    </xf>
    <xf numFmtId="0" fontId="12" fillId="6" borderId="1" xfId="1" applyFont="1" applyFill="1" applyBorder="1" applyAlignment="1">
      <alignment horizontal="right"/>
    </xf>
    <xf numFmtId="0" fontId="11" fillId="6" borderId="17" xfId="1" applyFont="1" applyFill="1" applyBorder="1" applyAlignment="1">
      <alignment horizontal="centerContinuous"/>
    </xf>
    <xf numFmtId="0" fontId="5" fillId="6" borderId="5" xfId="0" applyFont="1" applyFill="1" applyBorder="1" applyAlignment="1">
      <alignment horizontal="right"/>
    </xf>
    <xf numFmtId="164" fontId="4" fillId="6" borderId="16" xfId="0" applyNumberFormat="1" applyFont="1" applyFill="1" applyBorder="1"/>
    <xf numFmtId="9" fontId="20" fillId="14" borderId="15" xfId="0" applyNumberFormat="1" applyFont="1" applyFill="1" applyBorder="1" applyAlignment="1">
      <alignment horizontal="center"/>
    </xf>
    <xf numFmtId="9" fontId="20" fillId="14" borderId="16" xfId="0" applyNumberFormat="1" applyFont="1" applyFill="1" applyBorder="1" applyAlignment="1">
      <alignment horizontal="center"/>
    </xf>
    <xf numFmtId="9" fontId="26" fillId="12" borderId="13" xfId="0" applyNumberFormat="1" applyFont="1" applyFill="1" applyBorder="1"/>
    <xf numFmtId="9" fontId="20" fillId="14" borderId="15" xfId="1" applyNumberFormat="1" applyFont="1" applyFill="1" applyBorder="1" applyAlignment="1">
      <alignment horizontal="centerContinuous"/>
    </xf>
    <xf numFmtId="9" fontId="20" fillId="2" borderId="13" xfId="1" applyNumberFormat="1" applyFont="1" applyFill="1" applyBorder="1"/>
    <xf numFmtId="9" fontId="20" fillId="14" borderId="17" xfId="1" applyNumberFormat="1" applyFont="1" applyFill="1" applyBorder="1" applyAlignment="1">
      <alignment horizontal="centerContinuous"/>
    </xf>
    <xf numFmtId="9" fontId="26" fillId="13" borderId="15" xfId="0" applyNumberFormat="1" applyFont="1" applyFill="1" applyBorder="1" applyAlignment="1">
      <alignment horizontal="center"/>
    </xf>
    <xf numFmtId="9" fontId="26" fillId="13" borderId="16" xfId="0" applyNumberFormat="1" applyFont="1" applyFill="1" applyBorder="1" applyAlignment="1">
      <alignment horizontal="center"/>
    </xf>
    <xf numFmtId="9" fontId="26" fillId="13" borderId="17" xfId="1" applyNumberFormat="1" applyFont="1" applyFill="1" applyBorder="1" applyAlignment="1">
      <alignment horizontal="center"/>
    </xf>
    <xf numFmtId="0" fontId="18" fillId="2" borderId="16" xfId="0" applyFont="1" applyFill="1" applyBorder="1" applyAlignment="1">
      <alignment horizontal="right"/>
    </xf>
    <xf numFmtId="0" fontId="8" fillId="10" borderId="22" xfId="1" applyFont="1" applyFill="1" applyBorder="1"/>
    <xf numFmtId="0" fontId="12" fillId="10" borderId="15" xfId="0" applyFont="1" applyFill="1" applyBorder="1"/>
    <xf numFmtId="0" fontId="12" fillId="10" borderId="16" xfId="0" applyFont="1" applyFill="1" applyBorder="1"/>
    <xf numFmtId="164" fontId="12" fillId="10" borderId="15" xfId="0" applyNumberFormat="1" applyFont="1" applyFill="1" applyBorder="1"/>
    <xf numFmtId="164" fontId="12" fillId="10" borderId="16" xfId="0" applyNumberFormat="1" applyFont="1" applyFill="1" applyBorder="1"/>
    <xf numFmtId="0" fontId="27" fillId="3" borderId="0" xfId="0" applyFont="1" applyFill="1"/>
    <xf numFmtId="0" fontId="27" fillId="3" borderId="6" xfId="0" applyFont="1" applyFill="1" applyBorder="1"/>
    <xf numFmtId="0" fontId="20" fillId="2" borderId="2" xfId="1" applyFont="1" applyFill="1" applyBorder="1" applyAlignment="1">
      <alignment horizontal="centerContinuous"/>
    </xf>
    <xf numFmtId="0" fontId="20" fillId="2" borderId="15" xfId="0" applyFont="1" applyFill="1" applyBorder="1" applyAlignment="1">
      <alignment horizontal="right"/>
    </xf>
    <xf numFmtId="0" fontId="20" fillId="2" borderId="16" xfId="0" applyFont="1" applyFill="1" applyBorder="1" applyAlignment="1">
      <alignment horizontal="right"/>
    </xf>
    <xf numFmtId="0" fontId="20" fillId="2" borderId="16" xfId="1" applyFont="1" applyFill="1" applyBorder="1" applyAlignment="1">
      <alignment horizontal="center"/>
    </xf>
    <xf numFmtId="0" fontId="27" fillId="0" borderId="0" xfId="0" applyFont="1"/>
    <xf numFmtId="0" fontId="27" fillId="0" borderId="6" xfId="0" applyFont="1" applyBorder="1"/>
    <xf numFmtId="0" fontId="20" fillId="2" borderId="0" xfId="1" applyFont="1" applyFill="1" applyAlignment="1">
      <alignment horizontal="centerContinuous"/>
    </xf>
    <xf numFmtId="0" fontId="18" fillId="2" borderId="15" xfId="0" applyFont="1" applyFill="1" applyBorder="1" applyAlignment="1">
      <alignment horizontal="right"/>
    </xf>
    <xf numFmtId="0" fontId="17" fillId="2" borderId="17" xfId="0" applyFont="1" applyFill="1" applyBorder="1" applyAlignment="1">
      <alignment horizontal="right"/>
    </xf>
    <xf numFmtId="0" fontId="17" fillId="2" borderId="17" xfId="1" applyFont="1" applyFill="1" applyBorder="1"/>
    <xf numFmtId="0" fontId="17" fillId="14" borderId="29" xfId="1" applyFont="1" applyFill="1" applyBorder="1" applyAlignment="1">
      <alignment horizontal="center"/>
    </xf>
    <xf numFmtId="9" fontId="18" fillId="14" borderId="4" xfId="3" applyFont="1" applyFill="1" applyBorder="1" applyAlignment="1">
      <alignment horizontal="center"/>
    </xf>
    <xf numFmtId="165" fontId="18" fillId="14" borderId="11" xfId="2" applyNumberFormat="1" applyFont="1" applyFill="1" applyBorder="1" applyAlignment="1">
      <alignment horizontal="center"/>
    </xf>
    <xf numFmtId="165" fontId="18" fillId="14" borderId="8" xfId="2" applyNumberFormat="1" applyFont="1" applyFill="1" applyBorder="1" applyAlignment="1">
      <alignment horizontal="center"/>
    </xf>
    <xf numFmtId="165" fontId="17" fillId="14" borderId="8" xfId="2" applyNumberFormat="1" applyFont="1" applyFill="1" applyBorder="1" applyAlignment="1">
      <alignment horizontal="center"/>
    </xf>
    <xf numFmtId="9" fontId="22" fillId="13" borderId="21" xfId="3" applyFont="1" applyFill="1" applyBorder="1" applyAlignment="1">
      <alignment horizontal="center"/>
    </xf>
    <xf numFmtId="9" fontId="23" fillId="13" borderId="19" xfId="3" applyFont="1" applyFill="1" applyBorder="1" applyAlignment="1">
      <alignment horizontal="center"/>
    </xf>
    <xf numFmtId="9" fontId="23" fillId="13" borderId="18" xfId="3" applyFont="1" applyFill="1" applyBorder="1" applyAlignment="1">
      <alignment horizontal="center"/>
    </xf>
    <xf numFmtId="0" fontId="18" fillId="2" borderId="0" xfId="1" applyFont="1" applyFill="1"/>
    <xf numFmtId="0" fontId="18" fillId="2" borderId="6" xfId="1" applyFont="1" applyFill="1" applyBorder="1"/>
    <xf numFmtId="0" fontId="17" fillId="2" borderId="6" xfId="1" applyFont="1" applyFill="1" applyBorder="1"/>
    <xf numFmtId="0" fontId="17" fillId="12" borderId="0" xfId="0" applyFont="1" applyFill="1"/>
    <xf numFmtId="0" fontId="30" fillId="12" borderId="0" xfId="0" applyFont="1" applyFill="1"/>
    <xf numFmtId="0" fontId="21" fillId="12" borderId="6" xfId="0" applyFont="1" applyFill="1" applyBorder="1"/>
    <xf numFmtId="9" fontId="21" fillId="12" borderId="0" xfId="3" applyFont="1" applyFill="1" applyAlignment="1"/>
    <xf numFmtId="165" fontId="12" fillId="3" borderId="13" xfId="2" applyNumberFormat="1" applyFont="1" applyFill="1" applyBorder="1" applyAlignment="1">
      <alignment horizontal="right"/>
    </xf>
    <xf numFmtId="165" fontId="12" fillId="3" borderId="23" xfId="2" applyNumberFormat="1" applyFont="1" applyFill="1" applyBorder="1" applyAlignment="1">
      <alignment horizontal="right"/>
    </xf>
    <xf numFmtId="9" fontId="11" fillId="3" borderId="22" xfId="3" applyFont="1" applyFill="1" applyBorder="1" applyAlignment="1">
      <alignment horizontal="right"/>
    </xf>
    <xf numFmtId="165" fontId="12" fillId="0" borderId="0" xfId="2" applyNumberFormat="1" applyFont="1"/>
    <xf numFmtId="9" fontId="12" fillId="0" borderId="0" xfId="0" applyNumberFormat="1" applyFont="1"/>
    <xf numFmtId="165" fontId="12" fillId="3" borderId="12" xfId="2" applyNumberFormat="1" applyFont="1" applyFill="1" applyBorder="1" applyAlignment="1">
      <alignment horizontal="right"/>
    </xf>
    <xf numFmtId="0" fontId="11" fillId="3" borderId="5" xfId="1" applyFont="1" applyFill="1" applyBorder="1" applyAlignment="1">
      <alignment horizontal="center"/>
    </xf>
    <xf numFmtId="0" fontId="11" fillId="3" borderId="16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right"/>
    </xf>
    <xf numFmtId="0" fontId="11" fillId="3" borderId="17" xfId="1" applyFont="1" applyFill="1" applyBorder="1" applyAlignment="1">
      <alignment horizontal="centerContinuous"/>
    </xf>
    <xf numFmtId="0" fontId="12" fillId="3" borderId="5" xfId="0" applyFont="1" applyFill="1" applyBorder="1" applyAlignment="1">
      <alignment horizontal="right"/>
    </xf>
    <xf numFmtId="164" fontId="11" fillId="3" borderId="16" xfId="0" applyNumberFormat="1" applyFont="1" applyFill="1" applyBorder="1"/>
    <xf numFmtId="0" fontId="21" fillId="12" borderId="15" xfId="0" applyFont="1" applyFill="1" applyBorder="1"/>
    <xf numFmtId="0" fontId="11" fillId="0" borderId="0" xfId="0" applyFont="1" applyAlignment="1">
      <alignment horizontal="center"/>
    </xf>
    <xf numFmtId="0" fontId="17" fillId="2" borderId="9" xfId="0" applyFont="1" applyFill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28" fillId="12" borderId="6" xfId="0" applyFont="1" applyFill="1" applyBorder="1" applyAlignment="1">
      <alignment horizontal="center" vertical="top"/>
    </xf>
    <xf numFmtId="0" fontId="17" fillId="12" borderId="0" xfId="0" applyFont="1" applyFill="1" applyAlignment="1">
      <alignment horizontal="center" vertical="top" wrapText="1"/>
    </xf>
    <xf numFmtId="0" fontId="18" fillId="12" borderId="2" xfId="1" applyFont="1" applyFill="1" applyBorder="1" applyAlignment="1">
      <alignment horizontal="left" wrapText="1"/>
    </xf>
    <xf numFmtId="0" fontId="18" fillId="2" borderId="9" xfId="0" applyFont="1" applyFill="1" applyBorder="1" applyAlignment="1">
      <alignment horizontal="right"/>
    </xf>
    <xf numFmtId="0" fontId="18" fillId="2" borderId="0" xfId="0" applyFont="1" applyFill="1" applyAlignment="1">
      <alignment horizontal="right"/>
    </xf>
    <xf numFmtId="0" fontId="20" fillId="14" borderId="1" xfId="1" applyFont="1" applyFill="1" applyBorder="1" applyAlignment="1">
      <alignment horizontal="center"/>
    </xf>
    <xf numFmtId="0" fontId="20" fillId="14" borderId="17" xfId="1" applyFont="1" applyFill="1" applyBorder="1" applyAlignment="1">
      <alignment horizontal="center"/>
    </xf>
    <xf numFmtId="0" fontId="28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0" fontId="20" fillId="6" borderId="1" xfId="1" applyFont="1" applyFill="1" applyBorder="1" applyAlignment="1">
      <alignment horizontal="center"/>
    </xf>
    <xf numFmtId="0" fontId="20" fillId="6" borderId="17" xfId="1" applyFont="1" applyFill="1" applyBorder="1" applyAlignment="1">
      <alignment horizontal="center"/>
    </xf>
    <xf numFmtId="0" fontId="26" fillId="13" borderId="1" xfId="1" applyFont="1" applyFill="1" applyBorder="1" applyAlignment="1">
      <alignment horizontal="center"/>
    </xf>
    <xf numFmtId="0" fontId="26" fillId="13" borderId="17" xfId="1" applyFont="1" applyFill="1" applyBorder="1" applyAlignment="1">
      <alignment horizontal="center"/>
    </xf>
    <xf numFmtId="0" fontId="20" fillId="14" borderId="2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right"/>
    </xf>
    <xf numFmtId="0" fontId="20" fillId="2" borderId="17" xfId="1" applyFont="1" applyFill="1" applyBorder="1" applyAlignment="1">
      <alignment horizontal="right"/>
    </xf>
    <xf numFmtId="0" fontId="20" fillId="2" borderId="4" xfId="1" applyFont="1" applyFill="1" applyBorder="1" applyAlignment="1">
      <alignment horizontal="right"/>
    </xf>
    <xf numFmtId="0" fontId="17" fillId="12" borderId="0" xfId="0" applyFont="1" applyFill="1" applyAlignment="1">
      <alignment horizontal="center"/>
    </xf>
    <xf numFmtId="0" fontId="30" fillId="12" borderId="0" xfId="0" applyFont="1" applyFill="1" applyAlignment="1">
      <alignment horizontal="center"/>
    </xf>
    <xf numFmtId="0" fontId="17" fillId="14" borderId="14" xfId="1" applyFont="1" applyFill="1" applyBorder="1" applyAlignment="1">
      <alignment horizontal="center"/>
    </xf>
    <xf numFmtId="0" fontId="17" fillId="14" borderId="13" xfId="1" applyFont="1" applyFill="1" applyBorder="1" applyAlignment="1">
      <alignment horizontal="center"/>
    </xf>
    <xf numFmtId="0" fontId="17" fillId="14" borderId="22" xfId="1" applyFont="1" applyFill="1" applyBorder="1" applyAlignment="1">
      <alignment horizontal="center"/>
    </xf>
    <xf numFmtId="0" fontId="17" fillId="14" borderId="12" xfId="1" applyFont="1" applyFill="1" applyBorder="1" applyAlignment="1">
      <alignment horizontal="center"/>
    </xf>
    <xf numFmtId="0" fontId="17" fillId="14" borderId="30" xfId="1" applyFont="1" applyFill="1" applyBorder="1" applyAlignment="1">
      <alignment horizontal="center"/>
    </xf>
    <xf numFmtId="0" fontId="17" fillId="14" borderId="31" xfId="1" applyFont="1" applyFill="1" applyBorder="1" applyAlignment="1">
      <alignment horizontal="center"/>
    </xf>
    <xf numFmtId="0" fontId="23" fillId="13" borderId="13" xfId="1" applyFont="1" applyFill="1" applyBorder="1" applyAlignment="1">
      <alignment horizontal="center"/>
    </xf>
    <xf numFmtId="0" fontId="23" fillId="13" borderId="22" xfId="1" applyFont="1" applyFill="1" applyBorder="1" applyAlignment="1">
      <alignment horizontal="center"/>
    </xf>
    <xf numFmtId="0" fontId="23" fillId="13" borderId="12" xfId="1" applyFont="1" applyFill="1" applyBorder="1" applyAlignment="1">
      <alignment horizontal="center"/>
    </xf>
    <xf numFmtId="0" fontId="23" fillId="13" borderId="14" xfId="1" applyFont="1" applyFill="1" applyBorder="1" applyAlignment="1">
      <alignment horizontal="center"/>
    </xf>
    <xf numFmtId="0" fontId="18" fillId="2" borderId="15" xfId="0" applyFont="1" applyFill="1" applyBorder="1" applyAlignment="1">
      <alignment horizontal="right"/>
    </xf>
    <xf numFmtId="0" fontId="17" fillId="14" borderId="32" xfId="1" applyFont="1" applyFill="1" applyBorder="1" applyAlignment="1">
      <alignment horizontal="center"/>
    </xf>
    <xf numFmtId="0" fontId="11" fillId="12" borderId="12" xfId="1" applyFont="1" applyFill="1" applyBorder="1" applyAlignment="1">
      <alignment horizontal="center"/>
    </xf>
    <xf numFmtId="0" fontId="11" fillId="12" borderId="13" xfId="1" applyFont="1" applyFill="1" applyBorder="1" applyAlignment="1">
      <alignment horizontal="center"/>
    </xf>
    <xf numFmtId="0" fontId="11" fillId="12" borderId="2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wrapText="1"/>
    </xf>
    <xf numFmtId="0" fontId="8" fillId="2" borderId="17" xfId="1" applyFont="1" applyFill="1" applyBorder="1" applyAlignment="1">
      <alignment horizontal="center" wrapText="1"/>
    </xf>
    <xf numFmtId="0" fontId="8" fillId="2" borderId="5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center" wrapText="1"/>
    </xf>
    <xf numFmtId="0" fontId="11" fillId="12" borderId="1" xfId="1" applyFont="1" applyFill="1" applyBorder="1" applyAlignment="1">
      <alignment horizontal="center"/>
    </xf>
    <xf numFmtId="0" fontId="11" fillId="12" borderId="2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7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0" fontId="11" fillId="6" borderId="4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0" fontId="11" fillId="6" borderId="17" xfId="1" applyFont="1" applyFill="1" applyBorder="1" applyAlignment="1">
      <alignment horizontal="center"/>
    </xf>
    <xf numFmtId="0" fontId="11" fillId="6" borderId="1" xfId="1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12" xfId="1" applyFont="1" applyFill="1" applyBorder="1"/>
    <xf numFmtId="0" fontId="17" fillId="2" borderId="22" xfId="0" applyFont="1" applyFill="1" applyBorder="1" applyAlignment="1">
      <alignment horizontal="right"/>
    </xf>
    <xf numFmtId="165" fontId="17" fillId="14" borderId="12" xfId="2" applyNumberFormat="1" applyFont="1" applyFill="1" applyBorder="1"/>
    <xf numFmtId="165" fontId="17" fillId="14" borderId="13" xfId="2" applyNumberFormat="1" applyFont="1" applyFill="1" applyBorder="1"/>
    <xf numFmtId="165" fontId="17" fillId="14" borderId="12" xfId="2" applyNumberFormat="1" applyFont="1" applyFill="1" applyBorder="1" applyAlignment="1">
      <alignment horizontal="center"/>
    </xf>
    <xf numFmtId="165" fontId="17" fillId="14" borderId="13" xfId="2" applyNumberFormat="1" applyFont="1" applyFill="1" applyBorder="1" applyAlignment="1">
      <alignment horizontal="center"/>
    </xf>
    <xf numFmtId="9" fontId="17" fillId="14" borderId="12" xfId="3" applyFont="1" applyFill="1" applyBorder="1" applyAlignment="1">
      <alignment horizontal="center"/>
    </xf>
    <xf numFmtId="165" fontId="17" fillId="14" borderId="24" xfId="2" applyNumberFormat="1" applyFont="1" applyFill="1" applyBorder="1" applyAlignment="1">
      <alignment horizontal="center"/>
    </xf>
    <xf numFmtId="9" fontId="17" fillId="14" borderId="13" xfId="3" applyFont="1" applyFill="1" applyBorder="1" applyAlignment="1">
      <alignment horizontal="center"/>
    </xf>
    <xf numFmtId="165" fontId="17" fillId="14" borderId="33" xfId="2" applyNumberFormat="1" applyFont="1" applyFill="1" applyBorder="1" applyAlignment="1">
      <alignment horizontal="center"/>
    </xf>
    <xf numFmtId="9" fontId="17" fillId="14" borderId="31" xfId="3" applyFont="1" applyFill="1" applyBorder="1" applyAlignment="1">
      <alignment horizontal="center"/>
    </xf>
    <xf numFmtId="165" fontId="23" fillId="13" borderId="29" xfId="2" applyNumberFormat="1" applyFont="1" applyFill="1" applyBorder="1" applyAlignment="1">
      <alignment horizontal="center"/>
    </xf>
    <xf numFmtId="165" fontId="23" fillId="13" borderId="13" xfId="2" applyNumberFormat="1" applyFont="1" applyFill="1" applyBorder="1" applyAlignment="1">
      <alignment horizontal="center"/>
    </xf>
    <xf numFmtId="9" fontId="23" fillId="13" borderId="22" xfId="3" applyFont="1" applyFill="1" applyBorder="1" applyAlignment="1">
      <alignment horizontal="center"/>
    </xf>
    <xf numFmtId="165" fontId="17" fillId="6" borderId="12" xfId="2" applyNumberFormat="1" applyFont="1" applyFill="1" applyBorder="1"/>
    <xf numFmtId="165" fontId="17" fillId="6" borderId="13" xfId="2" applyNumberFormat="1" applyFont="1" applyFill="1" applyBorder="1"/>
    <xf numFmtId="165" fontId="17" fillId="10" borderId="24" xfId="2" applyNumberFormat="1" applyFont="1" applyFill="1" applyBorder="1" applyAlignment="1">
      <alignment horizontal="center"/>
    </xf>
    <xf numFmtId="165" fontId="17" fillId="10" borderId="13" xfId="2" applyNumberFormat="1" applyFont="1" applyFill="1" applyBorder="1" applyAlignment="1">
      <alignment horizontal="center"/>
    </xf>
    <xf numFmtId="165" fontId="17" fillId="14" borderId="22" xfId="2" applyNumberFormat="1" applyFont="1" applyFill="1" applyBorder="1" applyAlignment="1">
      <alignment horizontal="center"/>
    </xf>
    <xf numFmtId="165" fontId="23" fillId="13" borderId="24" xfId="2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904"/>
      <color rgb="FFFFFF99"/>
      <color rgb="FFF8E70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Graduation Rates by Full-time</a:t>
            </a:r>
            <a:r>
              <a:rPr lang="en-US" baseline="0"/>
              <a:t> First-time Cohort</a:t>
            </a:r>
            <a:r>
              <a:rPr lang="en-US"/>
              <a:t>: Fall 1999 through </a:t>
            </a:r>
            <a:r>
              <a:rPr lang="en-US" sz="11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Fall 2019</a:t>
            </a:r>
            <a:r>
              <a:rPr lang="en-US"/>
              <a:t>
</a:t>
            </a:r>
          </a:p>
        </c:rich>
      </c:tx>
      <c:layout>
        <c:manualLayout>
          <c:xMode val="edge"/>
          <c:yMode val="edge"/>
          <c:x val="0.146336419893076"/>
          <c:y val="5.1948051948051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0951695533841"/>
          <c:y val="0.13645946149292265"/>
          <c:w val="0.85020002977199682"/>
          <c:h val="0.66233766233766234"/>
        </c:manualLayout>
      </c:layout>
      <c:lineChart>
        <c:grouping val="standard"/>
        <c:varyColors val="0"/>
        <c:ser>
          <c:idx val="2"/>
          <c:order val="0"/>
          <c:tx>
            <c:v>6 years or less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69696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overall!$P$4:$AL$4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overall!$Q$15:$AL$15</c:f>
              <c:numCache>
                <c:formatCode>0.0%</c:formatCode>
                <c:ptCount val="21"/>
                <c:pt idx="0">
                  <c:v>0.68985176738882559</c:v>
                </c:pt>
                <c:pt idx="1">
                  <c:v>0.69861554845580409</c:v>
                </c:pt>
                <c:pt idx="2">
                  <c:v>0.67936507936507939</c:v>
                </c:pt>
                <c:pt idx="3">
                  <c:v>0.68942731277533043</c:v>
                </c:pt>
                <c:pt idx="4">
                  <c:v>0.66103484688489966</c:v>
                </c:pt>
                <c:pt idx="5">
                  <c:v>0.69928644240570847</c:v>
                </c:pt>
                <c:pt idx="6">
                  <c:v>0.66806722689075626</c:v>
                </c:pt>
                <c:pt idx="7">
                  <c:v>0.67412451361867709</c:v>
                </c:pt>
                <c:pt idx="8">
                  <c:v>0.6681260945709282</c:v>
                </c:pt>
                <c:pt idx="9">
                  <c:v>0.6619365609348915</c:v>
                </c:pt>
                <c:pt idx="10">
                  <c:v>0.67321288295365278</c:v>
                </c:pt>
                <c:pt idx="11">
                  <c:v>0.6858974358974359</c:v>
                </c:pt>
                <c:pt idx="12">
                  <c:v>0.70947030497592301</c:v>
                </c:pt>
                <c:pt idx="13">
                  <c:v>0.68485342019543971</c:v>
                </c:pt>
                <c:pt idx="14">
                  <c:v>0.70298627925746571</c:v>
                </c:pt>
                <c:pt idx="15">
                  <c:v>0.68596491228070178</c:v>
                </c:pt>
                <c:pt idx="16">
                  <c:v>0.72236286919831227</c:v>
                </c:pt>
                <c:pt idx="17">
                  <c:v>0.68575734740015071</c:v>
                </c:pt>
                <c:pt idx="18">
                  <c:v>0.67447129909365555</c:v>
                </c:pt>
                <c:pt idx="19">
                  <c:v>0.68146417445482865</c:v>
                </c:pt>
                <c:pt idx="20">
                  <c:v>0.61255115961800821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8-445B-B5EE-7EEE92D6D035}"/>
            </c:ext>
          </c:extLst>
        </c:ser>
        <c:ser>
          <c:idx val="1"/>
          <c:order val="1"/>
          <c:tx>
            <c:v>5 years or less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overall!$P$4:$AL$4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overall!$Q$12:$AL$12</c:f>
              <c:numCache>
                <c:formatCode>0.0%</c:formatCode>
                <c:ptCount val="21"/>
                <c:pt idx="0">
                  <c:v>0.67502850627137967</c:v>
                </c:pt>
                <c:pt idx="1">
                  <c:v>0.67092651757188504</c:v>
                </c:pt>
                <c:pt idx="2">
                  <c:v>0.64656084656084656</c:v>
                </c:pt>
                <c:pt idx="3">
                  <c:v>0.64757709251101325</c:v>
                </c:pt>
                <c:pt idx="4">
                  <c:v>0.62724392819429775</c:v>
                </c:pt>
                <c:pt idx="5">
                  <c:v>0.66055045871559637</c:v>
                </c:pt>
                <c:pt idx="6">
                  <c:v>0.63025210084033612</c:v>
                </c:pt>
                <c:pt idx="7">
                  <c:v>0.6410505836575876</c:v>
                </c:pt>
                <c:pt idx="8">
                  <c:v>0.63747810858143605</c:v>
                </c:pt>
                <c:pt idx="9">
                  <c:v>0.63606010016694492</c:v>
                </c:pt>
                <c:pt idx="10">
                  <c:v>0.64964650432050275</c:v>
                </c:pt>
                <c:pt idx="11">
                  <c:v>0.66185897435897434</c:v>
                </c:pt>
                <c:pt idx="12">
                  <c:v>0.6821829855537721</c:v>
                </c:pt>
                <c:pt idx="13">
                  <c:v>0.65390879478827357</c:v>
                </c:pt>
                <c:pt idx="14">
                  <c:v>0.67715899919289746</c:v>
                </c:pt>
                <c:pt idx="15">
                  <c:v>0.66052631578947374</c:v>
                </c:pt>
                <c:pt idx="16">
                  <c:v>0.69113924050632913</c:v>
                </c:pt>
                <c:pt idx="17">
                  <c:v>0.66239638281838731</c:v>
                </c:pt>
                <c:pt idx="18">
                  <c:v>0.65332326283987918</c:v>
                </c:pt>
                <c:pt idx="19">
                  <c:v>0.65342679127725856</c:v>
                </c:pt>
                <c:pt idx="20">
                  <c:v>0.59004092769440653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8-445B-B5EE-7EEE92D6D035}"/>
            </c:ext>
          </c:extLst>
        </c:ser>
        <c:ser>
          <c:idx val="0"/>
          <c:order val="2"/>
          <c:tx>
            <c:v>4 years or less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overall!$P$4:$AL$4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overall!$Q$9:$AL$9</c:f>
              <c:numCache>
                <c:formatCode>0.0%</c:formatCode>
                <c:ptCount val="21"/>
                <c:pt idx="0">
                  <c:v>0.52223489167616877</c:v>
                </c:pt>
                <c:pt idx="1">
                  <c:v>0.51970181043663477</c:v>
                </c:pt>
                <c:pt idx="2">
                  <c:v>0.45396825396825397</c:v>
                </c:pt>
                <c:pt idx="3">
                  <c:v>0.45925110132158592</c:v>
                </c:pt>
                <c:pt idx="4">
                  <c:v>0.45723336853220697</c:v>
                </c:pt>
                <c:pt idx="5">
                  <c:v>0.46585117227319062</c:v>
                </c:pt>
                <c:pt idx="6">
                  <c:v>0.4642857142857143</c:v>
                </c:pt>
                <c:pt idx="7">
                  <c:v>0.48832684824902722</c:v>
                </c:pt>
                <c:pt idx="8">
                  <c:v>0.46672504378283713</c:v>
                </c:pt>
                <c:pt idx="9">
                  <c:v>0.44490818030050083</c:v>
                </c:pt>
                <c:pt idx="10">
                  <c:v>0.45326001571091906</c:v>
                </c:pt>
                <c:pt idx="11">
                  <c:v>0.47676282051282054</c:v>
                </c:pt>
                <c:pt idx="12">
                  <c:v>0.4887640449438202</c:v>
                </c:pt>
                <c:pt idx="13">
                  <c:v>0.49511400651465798</c:v>
                </c:pt>
                <c:pt idx="14">
                  <c:v>0.5157384987893463</c:v>
                </c:pt>
                <c:pt idx="15">
                  <c:v>0.49561403508771928</c:v>
                </c:pt>
                <c:pt idx="16">
                  <c:v>0.49873417721518987</c:v>
                </c:pt>
                <c:pt idx="17">
                  <c:v>0.50188394875659381</c:v>
                </c:pt>
                <c:pt idx="18">
                  <c:v>0.48867069486404835</c:v>
                </c:pt>
                <c:pt idx="19">
                  <c:v>0.50778816199376942</c:v>
                </c:pt>
                <c:pt idx="20">
                  <c:v>0.44884038199181447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8-445B-B5EE-7EEE92D6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28240"/>
        <c:axId val="66826280"/>
      </c:lineChart>
      <c:catAx>
        <c:axId val="668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4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82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826280"/>
        <c:scaling>
          <c:orientation val="minMax"/>
          <c:min val="0.3500000000000003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8282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 rot="-96000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Graduation Rates by Type of Federal Aid Received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Pell!$U$3</c:f>
              <c:strCache>
                <c:ptCount val="1"/>
                <c:pt idx="0">
                  <c:v>2016 Cohort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Received Federal PELL Grant</c:v>
                </c:pt>
                <c:pt idx="2">
                  <c:v>Received Susidized Loan but no PELL Grant</c:v>
                </c:pt>
                <c:pt idx="4">
                  <c:v>Received neither PELL nor Subsidized Loan</c:v>
                </c:pt>
              </c:strCache>
            </c:strRef>
          </c:cat>
          <c:val>
            <c:numRef>
              <c:f>Pell!$W$5:$W$9</c:f>
            </c:numRef>
          </c:val>
          <c:extLst>
            <c:ext xmlns:c16="http://schemas.microsoft.com/office/drawing/2014/chart" uri="{C3380CC4-5D6E-409C-BE32-E72D297353CC}">
              <c16:uniqueId val="{00000001-741D-4088-84F3-C5877BC62DF9}"/>
            </c:ext>
          </c:extLst>
        </c:ser>
        <c:ser>
          <c:idx val="0"/>
          <c:order val="1"/>
          <c:tx>
            <c:strRef>
              <c:f>Pell!$C$3</c:f>
              <c:strCache>
                <c:ptCount val="1"/>
                <c:pt idx="0">
                  <c:v>2010 Cohort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Received Federal PELL Grant</c:v>
                </c:pt>
                <c:pt idx="2">
                  <c:v>Received Susidized Loan but no PELL Grant</c:v>
                </c:pt>
                <c:pt idx="4">
                  <c:v>Received neither PELL nor Subsidized Loan</c:v>
                </c:pt>
              </c:strCache>
            </c:strRef>
          </c:cat>
          <c:val>
            <c:numRef>
              <c:f>Pell!$E$5:$E$9</c:f>
            </c:numRef>
          </c:val>
          <c:extLst>
            <c:ext xmlns:c16="http://schemas.microsoft.com/office/drawing/2014/chart" uri="{C3380CC4-5D6E-409C-BE32-E72D297353CC}">
              <c16:uniqueId val="{00000000-536F-4253-BB75-7B17A51761A9}"/>
            </c:ext>
          </c:extLst>
        </c:ser>
        <c:ser>
          <c:idx val="5"/>
          <c:order val="2"/>
          <c:tx>
            <c:strRef>
              <c:f>Pell!$X$3</c:f>
              <c:strCache>
                <c:ptCount val="1"/>
                <c:pt idx="0">
                  <c:v>2017 Cohort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Received Federal PELL Grant</c:v>
                </c:pt>
                <c:pt idx="2">
                  <c:v>Received Susidized Loan but no PELL Grant</c:v>
                </c:pt>
                <c:pt idx="4">
                  <c:v>Received neither PELL nor Subsidized Loan</c:v>
                </c:pt>
              </c:strCache>
            </c:strRef>
          </c:cat>
          <c:val>
            <c:numRef>
              <c:f>Pell!$Z$5:$Z$9</c:f>
              <c:numCache>
                <c:formatCode>0%</c:formatCode>
                <c:ptCount val="5"/>
                <c:pt idx="0">
                  <c:v>0.60501567398119127</c:v>
                </c:pt>
                <c:pt idx="2">
                  <c:v>0.63380281690140849</c:v>
                </c:pt>
                <c:pt idx="4">
                  <c:v>0.72122052704576978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3-4AA7-86E9-233074A87D6A}"/>
            </c:ext>
          </c:extLst>
        </c:ser>
        <c:ser>
          <c:idx val="1"/>
          <c:order val="3"/>
          <c:tx>
            <c:strRef>
              <c:f>Pell!$F$3</c:f>
              <c:strCache>
                <c:ptCount val="1"/>
                <c:pt idx="0">
                  <c:v>2011 Cohort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Received Federal PELL Grant</c:v>
                </c:pt>
                <c:pt idx="2">
                  <c:v>Received Susidized Loan but no PELL Grant</c:v>
                </c:pt>
                <c:pt idx="4">
                  <c:v>Received neither PELL nor Subsidized Loan</c:v>
                </c:pt>
              </c:strCache>
            </c:strRef>
          </c:cat>
          <c:val>
            <c:numRef>
              <c:f>Pell!$H$5:$H$9</c:f>
            </c:numRef>
          </c:val>
          <c:extLst>
            <c:ext xmlns:c16="http://schemas.microsoft.com/office/drawing/2014/chart" uri="{C3380CC4-5D6E-409C-BE32-E72D297353CC}">
              <c16:uniqueId val="{00000001-536F-4253-BB75-7B17A51761A9}"/>
            </c:ext>
          </c:extLst>
        </c:ser>
        <c:ser>
          <c:idx val="2"/>
          <c:order val="4"/>
          <c:tx>
            <c:strRef>
              <c:f>Pell!$O$3</c:f>
              <c:strCache>
                <c:ptCount val="1"/>
                <c:pt idx="0">
                  <c:v>2014 Cohort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Received Federal PELL Grant</c:v>
                </c:pt>
                <c:pt idx="2">
                  <c:v>Received Susidized Loan but no PELL Grant</c:v>
                </c:pt>
                <c:pt idx="4">
                  <c:v>Received neither PELL nor Subsidized Loan</c:v>
                </c:pt>
              </c:strCache>
            </c:strRef>
          </c:cat>
          <c:val>
            <c:numRef>
              <c:f>Pell!$Q$5:$Q$9</c:f>
            </c:numRef>
          </c:val>
          <c:extLst>
            <c:ext xmlns:c16="http://schemas.microsoft.com/office/drawing/2014/chart" uri="{C3380CC4-5D6E-409C-BE32-E72D297353CC}">
              <c16:uniqueId val="{00000002-536F-4253-BB75-7B17A51761A9}"/>
            </c:ext>
          </c:extLst>
        </c:ser>
        <c:ser>
          <c:idx val="4"/>
          <c:order val="5"/>
          <c:tx>
            <c:strRef>
              <c:f>Pell!$AA$3</c:f>
              <c:strCache>
                <c:ptCount val="1"/>
                <c:pt idx="0">
                  <c:v>2018 Cohort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Received Federal PELL Grant</c:v>
                </c:pt>
                <c:pt idx="2">
                  <c:v>Received Susidized Loan but no PELL Grant</c:v>
                </c:pt>
                <c:pt idx="4">
                  <c:v>Received neither PELL nor Subsidized Loan</c:v>
                </c:pt>
              </c:strCache>
            </c:strRef>
          </c:cat>
          <c:val>
            <c:numRef>
              <c:f>Pell!$AC$5:$AC$9</c:f>
              <c:numCache>
                <c:formatCode>0%</c:formatCode>
                <c:ptCount val="5"/>
                <c:pt idx="0">
                  <c:v>0.57651245551601427</c:v>
                </c:pt>
                <c:pt idx="2">
                  <c:v>0.64084507042253525</c:v>
                </c:pt>
                <c:pt idx="4">
                  <c:v>0.73852573018080669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3-4A4A-AE3F-74599C26D1D5}"/>
            </c:ext>
          </c:extLst>
        </c:ser>
        <c:ser>
          <c:idx val="6"/>
          <c:order val="6"/>
          <c:tx>
            <c:strRef>
              <c:f>Pell!$AD$3</c:f>
              <c:strCache>
                <c:ptCount val="1"/>
                <c:pt idx="0">
                  <c:v>2019 Cohort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Pell!$AF$5:$AF$9</c:f>
              <c:numCache>
                <c:formatCode>0%</c:formatCode>
                <c:ptCount val="5"/>
                <c:pt idx="0">
                  <c:v>0.49854227405247814</c:v>
                </c:pt>
                <c:pt idx="2">
                  <c:v>0.6166666666666667</c:v>
                </c:pt>
                <c:pt idx="4">
                  <c:v>0.6557191392978482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D1-482F-A0E0-9CB137FE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6"/>
        <c:axId val="305547176"/>
        <c:axId val="305552424"/>
      </c:barChart>
      <c:catAx>
        <c:axId val="30554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552424"/>
        <c:crosses val="autoZero"/>
        <c:auto val="1"/>
        <c:lblAlgn val="ctr"/>
        <c:lblOffset val="100"/>
        <c:noMultiLvlLbl val="0"/>
      </c:catAx>
      <c:valAx>
        <c:axId val="305552424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547176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531494</xdr:colOff>
      <xdr:row>18</xdr:row>
      <xdr:rowOff>83821</xdr:rowOff>
    </xdr:from>
    <xdr:to>
      <xdr:col>26</xdr:col>
      <xdr:colOff>333375</xdr:colOff>
      <xdr:row>39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D51E19-B0EE-4B84-A2A5-9A5B8282E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13</xdr:row>
      <xdr:rowOff>179070</xdr:rowOff>
    </xdr:from>
    <xdr:to>
      <xdr:col>31</xdr:col>
      <xdr:colOff>19050</xdr:colOff>
      <xdr:row>32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5023-5F48-4D90-8340-ABB3CD9AEF2D}">
  <dimension ref="A1:AL17"/>
  <sheetViews>
    <sheetView workbookViewId="0">
      <selection activeCell="AG26" sqref="AG26"/>
    </sheetView>
  </sheetViews>
  <sheetFormatPr defaultRowHeight="14.4" x14ac:dyDescent="0.3"/>
  <cols>
    <col min="3" max="3" width="4" customWidth="1"/>
    <col min="4" max="17" width="9.109375" hidden="1" customWidth="1"/>
    <col min="18" max="29" width="9.109375" customWidth="1"/>
  </cols>
  <sheetData>
    <row r="1" spans="1:38" x14ac:dyDescent="0.3">
      <c r="A1" s="512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  <c r="AA1" s="512"/>
      <c r="AB1" s="512"/>
      <c r="AC1" s="512"/>
      <c r="AD1" s="512"/>
      <c r="AE1" s="512"/>
      <c r="AF1" s="512"/>
      <c r="AG1" s="512"/>
      <c r="AH1" s="512"/>
      <c r="AI1" s="512"/>
    </row>
    <row r="2" spans="1:38" x14ac:dyDescent="0.3">
      <c r="A2" s="512" t="s">
        <v>68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L2" s="419"/>
    </row>
    <row r="3" spans="1:38" x14ac:dyDescent="0.3">
      <c r="AL3" s="420"/>
    </row>
    <row r="4" spans="1:38" x14ac:dyDescent="0.3">
      <c r="A4" s="45" t="s">
        <v>1</v>
      </c>
      <c r="B4" s="46"/>
      <c r="C4" s="47"/>
      <c r="D4" s="48">
        <v>1985</v>
      </c>
      <c r="E4" s="48">
        <v>1986</v>
      </c>
      <c r="F4" s="48">
        <v>1987</v>
      </c>
      <c r="G4" s="48">
        <v>1988</v>
      </c>
      <c r="H4" s="48">
        <v>1989</v>
      </c>
      <c r="I4" s="48">
        <v>1990</v>
      </c>
      <c r="J4" s="48">
        <v>1991</v>
      </c>
      <c r="K4" s="48">
        <v>1992</v>
      </c>
      <c r="L4" s="48">
        <v>1993</v>
      </c>
      <c r="M4" s="48">
        <v>1994</v>
      </c>
      <c r="N4" s="49">
        <v>1995</v>
      </c>
      <c r="O4" s="50">
        <v>1996</v>
      </c>
      <c r="P4" s="49">
        <v>1997</v>
      </c>
      <c r="Q4" s="50">
        <v>1998</v>
      </c>
      <c r="R4" s="50">
        <v>1999</v>
      </c>
      <c r="S4" s="50">
        <v>2000</v>
      </c>
      <c r="T4" s="50">
        <v>2001</v>
      </c>
      <c r="U4" s="50">
        <v>2002</v>
      </c>
      <c r="V4" s="50">
        <v>2003</v>
      </c>
      <c r="W4" s="51">
        <v>2004</v>
      </c>
      <c r="X4" s="50">
        <v>2005</v>
      </c>
      <c r="Y4" s="50">
        <v>2006</v>
      </c>
      <c r="Z4" s="50">
        <v>2007</v>
      </c>
      <c r="AA4" s="50">
        <v>2008</v>
      </c>
      <c r="AB4" s="50">
        <v>2009</v>
      </c>
      <c r="AC4" s="52">
        <v>2010</v>
      </c>
      <c r="AD4" s="52">
        <v>2011</v>
      </c>
      <c r="AE4" s="51">
        <v>2012</v>
      </c>
      <c r="AF4" s="51">
        <v>2013</v>
      </c>
      <c r="AG4" s="51">
        <v>2014</v>
      </c>
      <c r="AH4" s="51">
        <v>2015</v>
      </c>
      <c r="AI4" s="51">
        <v>2016</v>
      </c>
      <c r="AJ4" s="51">
        <v>2017</v>
      </c>
      <c r="AK4" s="77">
        <v>2018</v>
      </c>
      <c r="AL4" s="467">
        <v>2019</v>
      </c>
    </row>
    <row r="5" spans="1:38" x14ac:dyDescent="0.3">
      <c r="A5" s="21"/>
      <c r="B5" s="22"/>
      <c r="C5" s="22"/>
      <c r="N5" s="25"/>
      <c r="O5" s="26"/>
      <c r="P5" s="27"/>
      <c r="Q5" s="26"/>
      <c r="R5" s="26"/>
      <c r="S5" s="26"/>
      <c r="T5" s="26"/>
      <c r="U5" s="26"/>
      <c r="V5" s="26"/>
      <c r="W5" s="28"/>
      <c r="X5" s="26"/>
      <c r="Y5" s="28"/>
      <c r="Z5" s="28"/>
      <c r="AA5" s="28"/>
      <c r="AB5" s="28"/>
      <c r="AC5" s="29"/>
      <c r="AD5" s="29"/>
      <c r="AE5" s="28"/>
      <c r="AF5" s="28"/>
      <c r="AG5" s="28"/>
      <c r="AH5" s="28"/>
      <c r="AI5" s="28"/>
      <c r="AJ5" s="28"/>
      <c r="AK5" s="76"/>
      <c r="AL5" s="468"/>
    </row>
    <row r="6" spans="1:38" x14ac:dyDescent="0.3">
      <c r="A6" s="13" t="s">
        <v>2</v>
      </c>
      <c r="B6" s="53"/>
      <c r="C6" s="54">
        <v>6010</v>
      </c>
      <c r="D6" s="14">
        <v>710</v>
      </c>
      <c r="E6" s="14">
        <v>685</v>
      </c>
      <c r="F6" s="14">
        <v>803</v>
      </c>
      <c r="G6" s="14">
        <v>855</v>
      </c>
      <c r="H6" s="14">
        <v>773</v>
      </c>
      <c r="I6" s="14">
        <v>659</v>
      </c>
      <c r="J6" s="30">
        <v>711</v>
      </c>
      <c r="K6" s="30">
        <v>634</v>
      </c>
      <c r="L6" s="30">
        <v>726</v>
      </c>
      <c r="M6" s="31">
        <v>680</v>
      </c>
      <c r="N6" s="32">
        <v>642</v>
      </c>
      <c r="O6" s="33">
        <v>689</v>
      </c>
      <c r="P6" s="32">
        <v>886</v>
      </c>
      <c r="Q6" s="33">
        <v>935</v>
      </c>
      <c r="R6" s="33">
        <v>877</v>
      </c>
      <c r="S6" s="33">
        <v>940</v>
      </c>
      <c r="T6" s="33">
        <v>945</v>
      </c>
      <c r="U6" s="33">
        <v>908</v>
      </c>
      <c r="V6" s="33">
        <v>947</v>
      </c>
      <c r="W6" s="34">
        <v>981</v>
      </c>
      <c r="X6" s="33">
        <v>956</v>
      </c>
      <c r="Y6" s="34">
        <v>1028</v>
      </c>
      <c r="Z6" s="34">
        <v>1143</v>
      </c>
      <c r="AA6" s="34">
        <v>1199</v>
      </c>
      <c r="AB6" s="34">
        <v>1275</v>
      </c>
      <c r="AC6" s="34">
        <v>1250</v>
      </c>
      <c r="AD6" s="34">
        <v>1246</v>
      </c>
      <c r="AE6" s="34">
        <v>1228</v>
      </c>
      <c r="AF6" s="34">
        <v>1239</v>
      </c>
      <c r="AG6" s="34">
        <v>1140</v>
      </c>
      <c r="AH6" s="34">
        <v>1185</v>
      </c>
      <c r="AI6" s="34">
        <v>1327</v>
      </c>
      <c r="AJ6" s="34">
        <v>1324</v>
      </c>
      <c r="AK6" s="78">
        <v>1284</v>
      </c>
      <c r="AL6" s="469">
        <v>1466</v>
      </c>
    </row>
    <row r="7" spans="1:38" x14ac:dyDescent="0.3">
      <c r="A7" s="21"/>
      <c r="B7" s="22"/>
      <c r="C7" s="22"/>
      <c r="N7" s="25"/>
      <c r="O7" s="26"/>
      <c r="P7" s="25"/>
      <c r="Q7" s="26"/>
      <c r="R7" s="26"/>
      <c r="S7" s="26"/>
      <c r="T7" s="26"/>
      <c r="U7" s="26"/>
      <c r="V7" s="26"/>
      <c r="W7" s="28"/>
      <c r="X7" s="26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76"/>
      <c r="AL7" s="468"/>
    </row>
    <row r="8" spans="1:38" x14ac:dyDescent="0.3">
      <c r="A8" s="21" t="s">
        <v>3</v>
      </c>
      <c r="B8" s="22"/>
      <c r="C8" s="22"/>
      <c r="D8" s="35"/>
      <c r="E8" s="35"/>
      <c r="F8" s="35"/>
      <c r="G8" s="35"/>
      <c r="H8" s="35"/>
      <c r="I8" s="35"/>
      <c r="J8" s="35"/>
      <c r="K8" s="35"/>
      <c r="L8">
        <v>296</v>
      </c>
      <c r="M8">
        <v>263</v>
      </c>
      <c r="N8" s="25">
        <v>322</v>
      </c>
      <c r="O8" s="26">
        <v>311</v>
      </c>
      <c r="P8" s="25">
        <v>418</v>
      </c>
      <c r="Q8" s="26">
        <v>438</v>
      </c>
      <c r="R8" s="26">
        <v>458</v>
      </c>
      <c r="S8" s="26">
        <v>488</v>
      </c>
      <c r="T8" s="26">
        <v>429</v>
      </c>
      <c r="U8" s="26">
        <v>417</v>
      </c>
      <c r="V8" s="26">
        <v>433</v>
      </c>
      <c r="W8" s="28">
        <v>457</v>
      </c>
      <c r="X8" s="26">
        <v>442</v>
      </c>
      <c r="Y8" s="28">
        <v>502</v>
      </c>
      <c r="Z8" s="28">
        <v>533</v>
      </c>
      <c r="AA8" s="28">
        <v>533</v>
      </c>
      <c r="AB8" s="28">
        <v>577</v>
      </c>
      <c r="AC8" s="28">
        <v>595</v>
      </c>
      <c r="AD8" s="28">
        <v>609</v>
      </c>
      <c r="AE8" s="28">
        <v>608</v>
      </c>
      <c r="AF8" s="28">
        <v>639</v>
      </c>
      <c r="AG8" s="28">
        <v>565</v>
      </c>
      <c r="AH8" s="28">
        <v>591</v>
      </c>
      <c r="AI8" s="28">
        <v>666</v>
      </c>
      <c r="AJ8" s="28">
        <v>647</v>
      </c>
      <c r="AK8" s="76">
        <v>652</v>
      </c>
      <c r="AL8" s="468">
        <v>658</v>
      </c>
    </row>
    <row r="9" spans="1:38" x14ac:dyDescent="0.3">
      <c r="A9" s="21" t="s">
        <v>4</v>
      </c>
      <c r="B9" s="22"/>
      <c r="C9" s="22"/>
      <c r="D9" s="35">
        <v>0.27900000000000003</v>
      </c>
      <c r="E9" s="35">
        <v>0.27400000000000002</v>
      </c>
      <c r="F9" s="35">
        <v>0.36599999999999999</v>
      </c>
      <c r="G9" s="35">
        <v>0.32300000000000001</v>
      </c>
      <c r="H9" s="35">
        <v>0.38400000000000001</v>
      </c>
      <c r="I9" s="35">
        <v>0.40200000000000002</v>
      </c>
      <c r="J9" s="35">
        <v>0.40200000000000002</v>
      </c>
      <c r="K9" s="35">
        <v>0.41599999999999998</v>
      </c>
      <c r="L9" s="35">
        <f>L8/L6</f>
        <v>0.40771349862258954</v>
      </c>
      <c r="M9" s="35">
        <f>M8/M6</f>
        <v>0.38676470588235295</v>
      </c>
      <c r="N9" s="36">
        <f>N8/N6</f>
        <v>0.50155763239875384</v>
      </c>
      <c r="O9" s="37">
        <f>O8/O6</f>
        <v>0.4513788098693759</v>
      </c>
      <c r="P9" s="36">
        <v>0.47178329571106092</v>
      </c>
      <c r="Q9" s="37">
        <v>0.46844919786096256</v>
      </c>
      <c r="R9" s="37">
        <v>0.52223489167616877</v>
      </c>
      <c r="S9" s="37">
        <v>0.51970181043663477</v>
      </c>
      <c r="T9" s="37">
        <v>0.45396825396825397</v>
      </c>
      <c r="U9" s="37">
        <v>0.45925110132158592</v>
      </c>
      <c r="V9" s="37">
        <v>0.45723336853220697</v>
      </c>
      <c r="W9" s="38">
        <v>0.46585117227319062</v>
      </c>
      <c r="X9" s="37">
        <v>0.4642857142857143</v>
      </c>
      <c r="Y9" s="38">
        <v>0.48832684824902722</v>
      </c>
      <c r="Z9" s="38">
        <v>0.46672504378283713</v>
      </c>
      <c r="AA9" s="38">
        <v>0.44490818030050083</v>
      </c>
      <c r="AB9" s="38">
        <v>0.45326001571091906</v>
      </c>
      <c r="AC9" s="38">
        <v>0.47676282051282054</v>
      </c>
      <c r="AD9" s="38">
        <v>0.4887640449438202</v>
      </c>
      <c r="AE9" s="38">
        <v>0.49511400651465798</v>
      </c>
      <c r="AF9" s="38">
        <v>0.5157384987893463</v>
      </c>
      <c r="AG9" s="38">
        <f t="shared" ref="AG9:AL9" si="0">AG8/AG6</f>
        <v>0.49561403508771928</v>
      </c>
      <c r="AH9" s="38">
        <f t="shared" si="0"/>
        <v>0.49873417721518987</v>
      </c>
      <c r="AI9" s="38">
        <f t="shared" si="0"/>
        <v>0.50188394875659381</v>
      </c>
      <c r="AJ9" s="38">
        <f t="shared" si="0"/>
        <v>0.48867069486404835</v>
      </c>
      <c r="AK9" s="72">
        <f t="shared" si="0"/>
        <v>0.50778816199376942</v>
      </c>
      <c r="AL9" s="470">
        <f t="shared" si="0"/>
        <v>0.44884038199181447</v>
      </c>
    </row>
    <row r="10" spans="1:38" x14ac:dyDescent="0.3">
      <c r="A10" s="21"/>
      <c r="B10" s="22"/>
      <c r="C10" s="22"/>
      <c r="N10" s="25"/>
      <c r="O10" s="26"/>
      <c r="P10" s="25"/>
      <c r="Q10" s="26"/>
      <c r="R10" s="26"/>
      <c r="S10" s="26"/>
      <c r="T10" s="26"/>
      <c r="U10" s="26"/>
      <c r="V10" s="26"/>
      <c r="W10" s="28"/>
      <c r="X10" s="26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76"/>
      <c r="AL10" s="468"/>
    </row>
    <row r="11" spans="1:38" x14ac:dyDescent="0.3">
      <c r="A11" s="21" t="s">
        <v>5</v>
      </c>
      <c r="B11" s="22"/>
      <c r="C11" s="22"/>
      <c r="L11">
        <v>405</v>
      </c>
      <c r="M11">
        <v>353</v>
      </c>
      <c r="N11" s="25">
        <v>420</v>
      </c>
      <c r="O11" s="26">
        <v>436</v>
      </c>
      <c r="P11" s="25">
        <v>577</v>
      </c>
      <c r="Q11" s="26">
        <v>605</v>
      </c>
      <c r="R11" s="26">
        <v>592</v>
      </c>
      <c r="S11" s="26">
        <v>630</v>
      </c>
      <c r="T11" s="26">
        <v>611</v>
      </c>
      <c r="U11" s="26">
        <v>588</v>
      </c>
      <c r="V11" s="26">
        <v>594</v>
      </c>
      <c r="W11" s="28">
        <v>648</v>
      </c>
      <c r="X11" s="26">
        <v>600</v>
      </c>
      <c r="Y11" s="28">
        <v>659</v>
      </c>
      <c r="Z11" s="28">
        <v>728</v>
      </c>
      <c r="AA11" s="28">
        <v>762</v>
      </c>
      <c r="AB11" s="28">
        <v>827</v>
      </c>
      <c r="AC11" s="28">
        <v>826</v>
      </c>
      <c r="AD11" s="28">
        <v>850</v>
      </c>
      <c r="AE11" s="28">
        <v>803</v>
      </c>
      <c r="AF11" s="28">
        <v>839</v>
      </c>
      <c r="AG11" s="28">
        <f>565+188</f>
        <v>753</v>
      </c>
      <c r="AH11" s="28">
        <f>591+228</f>
        <v>819</v>
      </c>
      <c r="AI11" s="28">
        <v>879</v>
      </c>
      <c r="AJ11" s="28">
        <v>865</v>
      </c>
      <c r="AK11" s="76">
        <v>839</v>
      </c>
      <c r="AL11" s="468">
        <f>658+207</f>
        <v>865</v>
      </c>
    </row>
    <row r="12" spans="1:38" x14ac:dyDescent="0.3">
      <c r="A12" s="21" t="s">
        <v>6</v>
      </c>
      <c r="B12" s="22"/>
      <c r="C12" s="22"/>
      <c r="D12" s="35">
        <v>0.45600000000000002</v>
      </c>
      <c r="E12" s="35">
        <v>0.435</v>
      </c>
      <c r="F12" s="35">
        <v>0.50900000000000001</v>
      </c>
      <c r="G12" s="35">
        <v>0.50900000000000001</v>
      </c>
      <c r="H12" s="35">
        <v>0.56000000000000005</v>
      </c>
      <c r="I12" s="35">
        <v>0.53600000000000003</v>
      </c>
      <c r="J12" s="35">
        <v>0.54700000000000004</v>
      </c>
      <c r="K12" s="35">
        <v>0.57599999999999996</v>
      </c>
      <c r="L12" s="35">
        <f>L11/L6</f>
        <v>0.55785123966942152</v>
      </c>
      <c r="M12" s="35">
        <f>M11/M6</f>
        <v>0.51911764705882357</v>
      </c>
      <c r="N12" s="36">
        <f>N11/N6</f>
        <v>0.65420560747663548</v>
      </c>
      <c r="O12" s="37">
        <f>O11/O6</f>
        <v>0.63280116110304785</v>
      </c>
      <c r="P12" s="36">
        <v>0.65124153498871329</v>
      </c>
      <c r="Q12" s="37">
        <v>0.6470588235294118</v>
      </c>
      <c r="R12" s="37">
        <v>0.67502850627137967</v>
      </c>
      <c r="S12" s="37">
        <v>0.67092651757188504</v>
      </c>
      <c r="T12" s="37">
        <v>0.64656084656084656</v>
      </c>
      <c r="U12" s="37">
        <v>0.64757709251101325</v>
      </c>
      <c r="V12" s="37">
        <v>0.62724392819429775</v>
      </c>
      <c r="W12" s="38">
        <v>0.66055045871559637</v>
      </c>
      <c r="X12" s="37">
        <v>0.63025210084033612</v>
      </c>
      <c r="Y12" s="38">
        <v>0.6410505836575876</v>
      </c>
      <c r="Z12" s="38">
        <v>0.63747810858143605</v>
      </c>
      <c r="AA12" s="38">
        <v>0.63606010016694492</v>
      </c>
      <c r="AB12" s="38">
        <v>0.64964650432050275</v>
      </c>
      <c r="AC12" s="38">
        <v>0.66185897435897434</v>
      </c>
      <c r="AD12" s="38">
        <v>0.6821829855537721</v>
      </c>
      <c r="AE12" s="38">
        <v>0.65390879478827357</v>
      </c>
      <c r="AF12" s="38">
        <v>0.67715899919289746</v>
      </c>
      <c r="AG12" s="38">
        <f t="shared" ref="AG12:AL12" si="1">AG11/AG6</f>
        <v>0.66052631578947374</v>
      </c>
      <c r="AH12" s="38">
        <f t="shared" si="1"/>
        <v>0.69113924050632913</v>
      </c>
      <c r="AI12" s="38">
        <f t="shared" si="1"/>
        <v>0.66239638281838731</v>
      </c>
      <c r="AJ12" s="38">
        <f t="shared" si="1"/>
        <v>0.65332326283987918</v>
      </c>
      <c r="AK12" s="72">
        <f t="shared" si="1"/>
        <v>0.65342679127725856</v>
      </c>
      <c r="AL12" s="470">
        <f t="shared" si="1"/>
        <v>0.59004092769440653</v>
      </c>
    </row>
    <row r="13" spans="1:38" x14ac:dyDescent="0.3">
      <c r="A13" s="21"/>
      <c r="B13" s="22"/>
      <c r="C13" s="22"/>
      <c r="N13" s="25"/>
      <c r="O13" s="26"/>
      <c r="P13" s="25"/>
      <c r="Q13" s="26"/>
      <c r="R13" s="26"/>
      <c r="S13" s="26"/>
      <c r="T13" s="26"/>
      <c r="U13" s="26"/>
      <c r="V13" s="26"/>
      <c r="W13" s="28"/>
      <c r="X13" s="26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76"/>
      <c r="AL13" s="468"/>
    </row>
    <row r="14" spans="1:38" x14ac:dyDescent="0.3">
      <c r="A14" s="21" t="s">
        <v>7</v>
      </c>
      <c r="B14" s="22"/>
      <c r="C14" s="22"/>
      <c r="J14" s="39">
        <v>429</v>
      </c>
      <c r="K14" s="39">
        <v>397</v>
      </c>
      <c r="L14" s="40">
        <v>444</v>
      </c>
      <c r="M14" s="40">
        <v>430</v>
      </c>
      <c r="N14" s="25">
        <v>437</v>
      </c>
      <c r="O14" s="26">
        <v>455</v>
      </c>
      <c r="P14" s="25">
        <v>597</v>
      </c>
      <c r="Q14" s="26">
        <v>626</v>
      </c>
      <c r="R14" s="26">
        <v>605</v>
      </c>
      <c r="S14" s="26">
        <v>656</v>
      </c>
      <c r="T14" s="26">
        <v>642</v>
      </c>
      <c r="U14" s="26">
        <v>626</v>
      </c>
      <c r="V14" s="26">
        <v>626</v>
      </c>
      <c r="W14" s="28">
        <v>686</v>
      </c>
      <c r="X14" s="26">
        <v>636</v>
      </c>
      <c r="Y14" s="28">
        <v>693</v>
      </c>
      <c r="Z14" s="28">
        <v>763</v>
      </c>
      <c r="AA14" s="28">
        <v>793</v>
      </c>
      <c r="AB14" s="28">
        <v>857</v>
      </c>
      <c r="AC14" s="28">
        <v>856</v>
      </c>
      <c r="AD14" s="28">
        <v>884</v>
      </c>
      <c r="AE14" s="28">
        <v>841</v>
      </c>
      <c r="AF14" s="28">
        <v>871</v>
      </c>
      <c r="AG14" s="28">
        <f>AG11+29</f>
        <v>782</v>
      </c>
      <c r="AH14" s="28">
        <f>591+228+37</f>
        <v>856</v>
      </c>
      <c r="AI14" s="28">
        <v>910</v>
      </c>
      <c r="AJ14" s="28">
        <v>893</v>
      </c>
      <c r="AK14" s="76">
        <v>875</v>
      </c>
      <c r="AL14" s="468">
        <f>658+207+33</f>
        <v>898</v>
      </c>
    </row>
    <row r="15" spans="1:38" x14ac:dyDescent="0.3">
      <c r="A15" s="23" t="s">
        <v>8</v>
      </c>
      <c r="B15" s="24"/>
      <c r="C15" s="24"/>
      <c r="D15" s="41">
        <v>0.48899999999999999</v>
      </c>
      <c r="E15" s="41">
        <v>0.48</v>
      </c>
      <c r="F15" s="41">
        <v>0.55400000000000005</v>
      </c>
      <c r="G15" s="41">
        <v>0.53900000000000003</v>
      </c>
      <c r="H15" s="41">
        <v>0.59199999999999997</v>
      </c>
      <c r="I15" s="41">
        <v>0.57199999999999995</v>
      </c>
      <c r="J15" s="41">
        <v>0.56799999999999995</v>
      </c>
      <c r="K15" s="41">
        <v>0.59199999999999997</v>
      </c>
      <c r="L15" s="41">
        <f>L14/L6</f>
        <v>0.61157024793388426</v>
      </c>
      <c r="M15" s="41">
        <f>M14/M6</f>
        <v>0.63235294117647056</v>
      </c>
      <c r="N15" s="42">
        <f>N14/N6</f>
        <v>0.68068535825545173</v>
      </c>
      <c r="O15" s="43">
        <f>O14/O6</f>
        <v>0.660377358490566</v>
      </c>
      <c r="P15" s="42">
        <v>0.67381489841986453</v>
      </c>
      <c r="Q15" s="43">
        <v>0.66951871657754014</v>
      </c>
      <c r="R15" s="43">
        <v>0.68985176738882559</v>
      </c>
      <c r="S15" s="43">
        <v>0.69861554845580409</v>
      </c>
      <c r="T15" s="43">
        <v>0.67936507936507939</v>
      </c>
      <c r="U15" s="43">
        <v>0.68942731277533043</v>
      </c>
      <c r="V15" s="43">
        <v>0.66103484688489966</v>
      </c>
      <c r="W15" s="44">
        <v>0.69928644240570847</v>
      </c>
      <c r="X15" s="43">
        <v>0.66806722689075626</v>
      </c>
      <c r="Y15" s="44">
        <v>0.67412451361867709</v>
      </c>
      <c r="Z15" s="44">
        <v>0.6681260945709282</v>
      </c>
      <c r="AA15" s="44">
        <v>0.6619365609348915</v>
      </c>
      <c r="AB15" s="44">
        <v>0.67321288295365278</v>
      </c>
      <c r="AC15" s="44">
        <v>0.6858974358974359</v>
      </c>
      <c r="AD15" s="44">
        <v>0.70947030497592301</v>
      </c>
      <c r="AE15" s="44">
        <v>0.68485342019543971</v>
      </c>
      <c r="AF15" s="44">
        <v>0.70298627925746571</v>
      </c>
      <c r="AG15" s="44">
        <f t="shared" ref="AG15:AL15" si="2">AG14/AG6</f>
        <v>0.68596491228070178</v>
      </c>
      <c r="AH15" s="44">
        <f t="shared" si="2"/>
        <v>0.72236286919831227</v>
      </c>
      <c r="AI15" s="44">
        <f t="shared" si="2"/>
        <v>0.68575734740015071</v>
      </c>
      <c r="AJ15" s="44">
        <f t="shared" si="2"/>
        <v>0.67447129909365555</v>
      </c>
      <c r="AK15" s="73">
        <f t="shared" si="2"/>
        <v>0.68146417445482865</v>
      </c>
      <c r="AL15" s="471">
        <f t="shared" si="2"/>
        <v>0.61255115961800821</v>
      </c>
    </row>
    <row r="16" spans="1:38" x14ac:dyDescent="0.3">
      <c r="A16" s="81" t="s">
        <v>26</v>
      </c>
      <c r="B16" s="82" t="s">
        <v>27</v>
      </c>
    </row>
    <row r="17" spans="1:2" x14ac:dyDescent="0.3">
      <c r="A17" s="83" t="s">
        <v>51</v>
      </c>
      <c r="B17" s="84" t="s">
        <v>52</v>
      </c>
    </row>
  </sheetData>
  <mergeCells count="2">
    <mergeCell ref="A1:AI1"/>
    <mergeCell ref="A2:AI2"/>
  </mergeCells>
  <pageMargins left="0.2" right="0.2" top="0.75" bottom="0.75" header="0.3" footer="0.3"/>
  <pageSetup orientation="landscape" r:id="rId1"/>
  <headerFooter alignWithMargins="0"/>
  <rowBreaks count="1" manualBreakCount="1">
    <brk id="17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54"/>
  <sheetViews>
    <sheetView zoomScaleNormal="100" workbookViewId="0">
      <selection activeCell="BY27" sqref="BY27"/>
    </sheetView>
  </sheetViews>
  <sheetFormatPr defaultColWidth="8.88671875" defaultRowHeight="13.8" x14ac:dyDescent="0.25"/>
  <cols>
    <col min="1" max="1" width="22.6640625" style="85" customWidth="1"/>
    <col min="2" max="2" width="3.6640625" style="85" customWidth="1"/>
    <col min="3" max="5" width="9.109375" style="85" hidden="1" customWidth="1"/>
    <col min="6" max="6" width="9.109375" style="86" hidden="1" customWidth="1"/>
    <col min="7" max="7" width="9.109375" style="85" hidden="1" customWidth="1"/>
    <col min="8" max="8" width="9.109375" style="86" hidden="1" customWidth="1"/>
    <col min="9" max="9" width="9.109375" style="85" hidden="1" customWidth="1"/>
    <col min="10" max="10" width="9.109375" style="86" hidden="1" customWidth="1"/>
    <col min="11" max="11" width="9.109375" style="85" hidden="1" customWidth="1"/>
    <col min="12" max="12" width="9.109375" style="86" hidden="1" customWidth="1"/>
    <col min="13" max="13" width="9.109375" style="85" hidden="1" customWidth="1"/>
    <col min="14" max="14" width="9.109375" style="86" hidden="1" customWidth="1"/>
    <col min="15" max="15" width="9.109375" style="85" hidden="1" customWidth="1"/>
    <col min="16" max="16" width="9.109375" style="86" hidden="1" customWidth="1"/>
    <col min="17" max="17" width="9.109375" style="85" hidden="1" customWidth="1"/>
    <col min="18" max="18" width="9.109375" style="86" hidden="1" customWidth="1"/>
    <col min="19" max="19" width="9.109375" style="85" hidden="1" customWidth="1"/>
    <col min="20" max="20" width="9.109375" style="86" hidden="1" customWidth="1"/>
    <col min="21" max="21" width="9.109375" style="85" hidden="1" customWidth="1"/>
    <col min="22" max="22" width="9.109375" style="86" hidden="1" customWidth="1"/>
    <col min="23" max="23" width="9.109375" style="85" hidden="1" customWidth="1"/>
    <col min="24" max="24" width="9.109375" style="86" hidden="1" customWidth="1"/>
    <col min="25" max="25" width="4" style="85" hidden="1" customWidth="1"/>
    <col min="26" max="44" width="9.109375" style="86" hidden="1" customWidth="1"/>
    <col min="45" max="45" width="7" style="85" hidden="1" customWidth="1"/>
    <col min="46" max="47" width="7" style="86" hidden="1" customWidth="1"/>
    <col min="48" max="48" width="7" style="85" hidden="1" customWidth="1"/>
    <col min="49" max="49" width="9.5546875" style="86" hidden="1" customWidth="1"/>
    <col min="50" max="50" width="7" style="86" hidden="1" customWidth="1"/>
    <col min="51" max="51" width="7" style="85" hidden="1" customWidth="1"/>
    <col min="52" max="52" width="9.5546875" style="86" hidden="1" customWidth="1"/>
    <col min="53" max="53" width="7" style="86" hidden="1" customWidth="1"/>
    <col min="54" max="54" width="7" style="85" hidden="1" customWidth="1"/>
    <col min="55" max="55" width="9.5546875" style="86" hidden="1" customWidth="1"/>
    <col min="56" max="56" width="7" style="86" hidden="1" customWidth="1"/>
    <col min="57" max="57" width="8" style="85" hidden="1" customWidth="1"/>
    <col min="58" max="59" width="7.33203125" style="86" hidden="1" customWidth="1"/>
    <col min="60" max="60" width="8" style="85" customWidth="1"/>
    <col min="61" max="62" width="7.33203125" style="86" hidden="1" customWidth="1"/>
    <col min="63" max="63" width="8" style="381" customWidth="1"/>
    <col min="64" max="64" width="8.88671875" style="85" hidden="1" customWidth="1"/>
    <col min="65" max="65" width="8.33203125" style="85" hidden="1" customWidth="1"/>
    <col min="66" max="66" width="8" style="85" customWidth="1"/>
    <col min="67" max="16384" width="8.88671875" style="85"/>
  </cols>
  <sheetData>
    <row r="1" spans="1:66" ht="13.8" customHeight="1" x14ac:dyDescent="0.25">
      <c r="A1" s="516" t="s">
        <v>38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</row>
    <row r="2" spans="1:66" x14ac:dyDescent="0.25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  <c r="AX2" s="516"/>
      <c r="AY2" s="516"/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516"/>
      <c r="BL2" s="516"/>
      <c r="BM2" s="516"/>
      <c r="BN2" s="516"/>
    </row>
    <row r="3" spans="1:66" x14ac:dyDescent="0.25">
      <c r="A3" s="515" t="s">
        <v>69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5"/>
      <c r="AP3" s="515"/>
      <c r="AQ3" s="515"/>
      <c r="AR3" s="515"/>
      <c r="AS3" s="515"/>
      <c r="AT3" s="515"/>
      <c r="AU3" s="515"/>
      <c r="AV3" s="515"/>
      <c r="AW3" s="515"/>
      <c r="AX3" s="515"/>
      <c r="AY3" s="515"/>
      <c r="AZ3" s="515"/>
      <c r="BA3" s="515"/>
      <c r="BB3" s="515"/>
      <c r="BC3" s="515"/>
      <c r="BD3" s="515"/>
      <c r="BE3" s="515"/>
      <c r="BF3" s="515"/>
      <c r="BG3" s="515"/>
      <c r="BH3" s="515"/>
      <c r="BI3" s="515"/>
      <c r="BJ3" s="515"/>
      <c r="BK3" s="515"/>
      <c r="BL3" s="515"/>
      <c r="BM3" s="515"/>
      <c r="BN3" s="515"/>
    </row>
    <row r="4" spans="1:66" x14ac:dyDescent="0.25">
      <c r="A4" s="112" t="s">
        <v>1</v>
      </c>
      <c r="B4" s="113"/>
      <c r="C4" s="114">
        <v>1993</v>
      </c>
      <c r="D4" s="115"/>
      <c r="E4" s="114">
        <v>1994</v>
      </c>
      <c r="F4" s="115"/>
      <c r="G4" s="116">
        <v>1995</v>
      </c>
      <c r="H4" s="117"/>
      <c r="I4" s="116">
        <v>1996</v>
      </c>
      <c r="J4" s="117"/>
      <c r="K4" s="116">
        <v>1997</v>
      </c>
      <c r="L4" s="117"/>
      <c r="M4" s="116">
        <v>1998</v>
      </c>
      <c r="N4" s="117"/>
      <c r="O4" s="116">
        <v>1999</v>
      </c>
      <c r="P4" s="117"/>
      <c r="Q4" s="116">
        <v>2000</v>
      </c>
      <c r="R4" s="117">
        <v>2000</v>
      </c>
      <c r="S4" s="116">
        <v>2001</v>
      </c>
      <c r="T4" s="117">
        <v>2001</v>
      </c>
      <c r="U4" s="116">
        <v>2002</v>
      </c>
      <c r="V4" s="117">
        <v>2002</v>
      </c>
      <c r="W4" s="118">
        <v>2003</v>
      </c>
      <c r="X4" s="119">
        <v>2003</v>
      </c>
      <c r="Y4" s="120"/>
      <c r="Z4" s="119">
        <v>2004</v>
      </c>
      <c r="AA4" s="119"/>
      <c r="AB4" s="119">
        <v>2005</v>
      </c>
      <c r="AC4" s="121">
        <v>2006</v>
      </c>
      <c r="AD4" s="121">
        <v>2007</v>
      </c>
      <c r="AE4" s="119">
        <v>2007</v>
      </c>
      <c r="AF4" s="121">
        <v>2007</v>
      </c>
      <c r="AG4" s="119">
        <v>2008</v>
      </c>
      <c r="AH4" s="119"/>
      <c r="AI4" s="119">
        <v>2008</v>
      </c>
      <c r="AJ4" s="119">
        <v>2009</v>
      </c>
      <c r="AK4" s="121">
        <v>2009</v>
      </c>
      <c r="AL4" s="121">
        <v>2009</v>
      </c>
      <c r="AM4" s="119">
        <v>2010</v>
      </c>
      <c r="AN4" s="122">
        <v>2010</v>
      </c>
      <c r="AO4" s="123">
        <v>2010</v>
      </c>
      <c r="AP4" s="124">
        <v>2011</v>
      </c>
      <c r="AQ4" s="125">
        <v>2012</v>
      </c>
      <c r="AR4" s="126">
        <v>2012</v>
      </c>
      <c r="AS4" s="216">
        <v>2012</v>
      </c>
      <c r="AT4" s="217">
        <v>2013</v>
      </c>
      <c r="AU4" s="329">
        <v>2013</v>
      </c>
      <c r="AV4" s="216">
        <v>2013</v>
      </c>
      <c r="AW4" s="125">
        <v>2014</v>
      </c>
      <c r="AX4" s="126">
        <v>2014</v>
      </c>
      <c r="AY4" s="216">
        <v>2014</v>
      </c>
      <c r="AZ4" s="125">
        <v>2015</v>
      </c>
      <c r="BA4" s="126">
        <v>2015</v>
      </c>
      <c r="BB4" s="216">
        <v>2015</v>
      </c>
      <c r="BC4" s="125">
        <v>2016</v>
      </c>
      <c r="BD4" s="126">
        <v>2016</v>
      </c>
      <c r="BE4" s="216">
        <v>2016</v>
      </c>
      <c r="BF4" s="125">
        <v>2017</v>
      </c>
      <c r="BG4" s="125">
        <v>2017</v>
      </c>
      <c r="BH4" s="218">
        <v>2017</v>
      </c>
      <c r="BI4" s="125">
        <v>2018</v>
      </c>
      <c r="BJ4" s="125">
        <v>2018</v>
      </c>
      <c r="BK4" s="218">
        <v>2018</v>
      </c>
      <c r="BL4" s="125">
        <v>2019</v>
      </c>
      <c r="BM4" s="125">
        <v>2019</v>
      </c>
      <c r="BN4" s="435">
        <v>2019</v>
      </c>
    </row>
    <row r="5" spans="1:66" x14ac:dyDescent="0.25">
      <c r="A5" s="127"/>
      <c r="B5" s="128"/>
      <c r="C5" s="129"/>
      <c r="D5" s="130" t="s">
        <v>9</v>
      </c>
      <c r="E5" s="129"/>
      <c r="F5" s="130" t="s">
        <v>9</v>
      </c>
      <c r="G5" s="131"/>
      <c r="H5" s="132" t="s">
        <v>9</v>
      </c>
      <c r="I5" s="131"/>
      <c r="J5" s="132" t="s">
        <v>9</v>
      </c>
      <c r="K5" s="131"/>
      <c r="L5" s="132" t="s">
        <v>9</v>
      </c>
      <c r="M5" s="131"/>
      <c r="N5" s="132" t="s">
        <v>9</v>
      </c>
      <c r="O5" s="131"/>
      <c r="P5" s="132" t="s">
        <v>9</v>
      </c>
      <c r="Q5" s="131"/>
      <c r="R5" s="132" t="s">
        <v>9</v>
      </c>
      <c r="S5" s="131"/>
      <c r="T5" s="132" t="s">
        <v>9</v>
      </c>
      <c r="U5" s="131"/>
      <c r="V5" s="132" t="s">
        <v>9</v>
      </c>
      <c r="W5" s="133"/>
      <c r="X5" s="87" t="s">
        <v>9</v>
      </c>
      <c r="Y5" s="134"/>
      <c r="Z5" s="87" t="s">
        <v>9</v>
      </c>
      <c r="AA5" s="87"/>
      <c r="AB5" s="87" t="s">
        <v>9</v>
      </c>
      <c r="AC5" s="87" t="s">
        <v>9</v>
      </c>
      <c r="AD5" s="87" t="s">
        <v>31</v>
      </c>
      <c r="AE5" s="87" t="s">
        <v>29</v>
      </c>
      <c r="AF5" s="87" t="s">
        <v>9</v>
      </c>
      <c r="AG5" s="87" t="s">
        <v>31</v>
      </c>
      <c r="AH5" s="87" t="s">
        <v>29</v>
      </c>
      <c r="AI5" s="87" t="s">
        <v>9</v>
      </c>
      <c r="AJ5" s="87" t="s">
        <v>28</v>
      </c>
      <c r="AK5" s="87" t="s">
        <v>29</v>
      </c>
      <c r="AL5" s="87" t="s">
        <v>9</v>
      </c>
      <c r="AM5" s="87" t="s">
        <v>28</v>
      </c>
      <c r="AN5" s="88" t="s">
        <v>29</v>
      </c>
      <c r="AO5" s="135" t="s">
        <v>9</v>
      </c>
      <c r="AP5" s="136" t="s">
        <v>9</v>
      </c>
      <c r="AQ5" s="89" t="s">
        <v>28</v>
      </c>
      <c r="AR5" s="90" t="s">
        <v>29</v>
      </c>
      <c r="AS5" s="219" t="s">
        <v>9</v>
      </c>
      <c r="AT5" s="220" t="s">
        <v>28</v>
      </c>
      <c r="AU5" s="345" t="s">
        <v>29</v>
      </c>
      <c r="AV5" s="219" t="s">
        <v>9</v>
      </c>
      <c r="AW5" s="89" t="s">
        <v>28</v>
      </c>
      <c r="AX5" s="90" t="s">
        <v>29</v>
      </c>
      <c r="AY5" s="219" t="s">
        <v>9</v>
      </c>
      <c r="AZ5" s="89" t="s">
        <v>28</v>
      </c>
      <c r="BA5" s="90" t="s">
        <v>29</v>
      </c>
      <c r="BB5" s="219" t="s">
        <v>9</v>
      </c>
      <c r="BC5" s="89" t="s">
        <v>28</v>
      </c>
      <c r="BD5" s="90" t="s">
        <v>29</v>
      </c>
      <c r="BE5" s="219" t="s">
        <v>9</v>
      </c>
      <c r="BF5" s="89" t="s">
        <v>28</v>
      </c>
      <c r="BG5" s="89" t="s">
        <v>29</v>
      </c>
      <c r="BH5" s="221" t="s">
        <v>9</v>
      </c>
      <c r="BI5" s="89" t="s">
        <v>28</v>
      </c>
      <c r="BJ5" s="89" t="s">
        <v>29</v>
      </c>
      <c r="BK5" s="221" t="s">
        <v>9</v>
      </c>
      <c r="BL5" s="89" t="s">
        <v>28</v>
      </c>
      <c r="BM5" s="89" t="s">
        <v>29</v>
      </c>
      <c r="BN5" s="436" t="s">
        <v>9</v>
      </c>
    </row>
    <row r="6" spans="1:66" hidden="1" x14ac:dyDescent="0.25">
      <c r="A6" s="137" t="s">
        <v>2</v>
      </c>
      <c r="B6" s="138"/>
      <c r="C6" s="114"/>
      <c r="D6" s="115"/>
      <c r="E6" s="114"/>
      <c r="F6" s="115"/>
      <c r="G6" s="116"/>
      <c r="H6" s="117"/>
      <c r="I6" s="116"/>
      <c r="J6" s="117"/>
      <c r="K6" s="116"/>
      <c r="L6" s="117"/>
      <c r="M6" s="116"/>
      <c r="N6" s="117"/>
      <c r="O6" s="116"/>
      <c r="P6" s="117"/>
      <c r="Q6" s="116"/>
      <c r="R6" s="117"/>
      <c r="S6" s="116"/>
      <c r="T6" s="117"/>
      <c r="U6" s="116"/>
      <c r="V6" s="117"/>
      <c r="W6" s="118"/>
      <c r="X6" s="119"/>
      <c r="Y6" s="120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39"/>
      <c r="AO6" s="123"/>
      <c r="AP6" s="140"/>
      <c r="AQ6" s="141"/>
      <c r="AR6" s="142"/>
      <c r="AS6" s="222"/>
      <c r="AT6" s="223"/>
      <c r="AU6" s="223"/>
      <c r="AV6" s="224"/>
      <c r="AW6" s="141"/>
      <c r="AX6" s="142"/>
      <c r="AY6" s="222"/>
      <c r="AZ6" s="141"/>
      <c r="BA6" s="142"/>
      <c r="BB6" s="222"/>
      <c r="BC6" s="141"/>
      <c r="BD6" s="142"/>
      <c r="BE6" s="222"/>
      <c r="BF6" s="141"/>
      <c r="BG6" s="141"/>
      <c r="BH6" s="224"/>
      <c r="BI6" s="141"/>
      <c r="BJ6" s="141"/>
      <c r="BK6" s="224"/>
      <c r="BL6" s="141"/>
      <c r="BM6" s="141"/>
      <c r="BN6" s="437"/>
    </row>
    <row r="7" spans="1:66" ht="15" hidden="1" customHeight="1" x14ac:dyDescent="0.25">
      <c r="A7" s="513" t="s">
        <v>10</v>
      </c>
      <c r="B7" s="514"/>
      <c r="C7" s="143">
        <v>55</v>
      </c>
      <c r="D7" s="144"/>
      <c r="E7" s="145">
        <v>53</v>
      </c>
      <c r="F7" s="144"/>
      <c r="G7" s="146">
        <v>33</v>
      </c>
      <c r="H7" s="147"/>
      <c r="I7" s="146">
        <v>60</v>
      </c>
      <c r="J7" s="147"/>
      <c r="K7" s="146">
        <v>45</v>
      </c>
      <c r="L7" s="147"/>
      <c r="M7" s="146">
        <v>41</v>
      </c>
      <c r="N7" s="147"/>
      <c r="O7" s="146">
        <v>35</v>
      </c>
      <c r="P7" s="147"/>
      <c r="Q7" s="146">
        <v>32</v>
      </c>
      <c r="R7" s="147"/>
      <c r="S7" s="146">
        <v>86</v>
      </c>
      <c r="T7" s="147"/>
      <c r="U7" s="146">
        <v>84</v>
      </c>
      <c r="V7" s="147"/>
      <c r="W7" s="148">
        <v>79</v>
      </c>
      <c r="X7" s="149"/>
      <c r="Y7" s="145">
        <v>75</v>
      </c>
      <c r="Z7" s="149"/>
      <c r="AA7" s="150">
        <v>94</v>
      </c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51"/>
      <c r="AO7" s="152"/>
      <c r="AP7" s="204"/>
      <c r="AQ7" s="205"/>
      <c r="AR7" s="206"/>
      <c r="AS7" s="225"/>
      <c r="AT7" s="226"/>
      <c r="AU7" s="226"/>
      <c r="AV7" s="227"/>
      <c r="AW7" s="205"/>
      <c r="AX7" s="206"/>
      <c r="AY7" s="363"/>
      <c r="AZ7" s="205"/>
      <c r="BA7" s="206"/>
      <c r="BB7" s="363"/>
      <c r="BC7" s="205"/>
      <c r="BD7" s="206"/>
      <c r="BE7" s="363"/>
      <c r="BF7" s="205"/>
      <c r="BG7" s="205"/>
      <c r="BH7" s="227"/>
      <c r="BI7" s="205"/>
      <c r="BJ7" s="205"/>
      <c r="BK7" s="227"/>
      <c r="BL7" s="205"/>
      <c r="BM7" s="205"/>
      <c r="BN7" s="438"/>
    </row>
    <row r="8" spans="1:66" ht="15" hidden="1" customHeight="1" x14ac:dyDescent="0.25">
      <c r="A8" s="513" t="s">
        <v>15</v>
      </c>
      <c r="B8" s="514"/>
      <c r="C8" s="143"/>
      <c r="D8" s="144"/>
      <c r="E8" s="145"/>
      <c r="F8" s="144"/>
      <c r="G8" s="146"/>
      <c r="H8" s="147"/>
      <c r="I8" s="146"/>
      <c r="J8" s="147"/>
      <c r="K8" s="146"/>
      <c r="L8" s="147"/>
      <c r="M8" s="146"/>
      <c r="N8" s="147"/>
      <c r="O8" s="146"/>
      <c r="P8" s="147"/>
      <c r="Q8" s="146">
        <v>4</v>
      </c>
      <c r="R8" s="147"/>
      <c r="S8" s="146">
        <v>2</v>
      </c>
      <c r="T8" s="147"/>
      <c r="U8" s="146">
        <v>4</v>
      </c>
      <c r="V8" s="147"/>
      <c r="W8" s="148">
        <v>5</v>
      </c>
      <c r="X8" s="149"/>
      <c r="Y8" s="145">
        <v>2</v>
      </c>
      <c r="Z8" s="149"/>
      <c r="AA8" s="150">
        <v>3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1"/>
      <c r="AO8" s="152"/>
      <c r="AP8" s="204"/>
      <c r="AQ8" s="205"/>
      <c r="AR8" s="206"/>
      <c r="AS8" s="225"/>
      <c r="AT8" s="226"/>
      <c r="AU8" s="226"/>
      <c r="AV8" s="227"/>
      <c r="AW8" s="205"/>
      <c r="AX8" s="206"/>
      <c r="AY8" s="363"/>
      <c r="AZ8" s="205"/>
      <c r="BA8" s="206"/>
      <c r="BB8" s="363"/>
      <c r="BC8" s="205"/>
      <c r="BD8" s="206"/>
      <c r="BE8" s="363"/>
      <c r="BF8" s="205"/>
      <c r="BG8" s="205"/>
      <c r="BH8" s="227"/>
      <c r="BI8" s="205"/>
      <c r="BJ8" s="205"/>
      <c r="BK8" s="227"/>
      <c r="BL8" s="205"/>
      <c r="BM8" s="205"/>
      <c r="BN8" s="438"/>
    </row>
    <row r="9" spans="1:66" ht="15" hidden="1" customHeight="1" x14ac:dyDescent="0.25">
      <c r="A9" s="513" t="s">
        <v>17</v>
      </c>
      <c r="B9" s="514"/>
      <c r="C9" s="143"/>
      <c r="D9" s="144"/>
      <c r="E9" s="145"/>
      <c r="F9" s="144"/>
      <c r="G9" s="146"/>
      <c r="H9" s="147"/>
      <c r="I9" s="146"/>
      <c r="J9" s="147"/>
      <c r="K9" s="146"/>
      <c r="L9" s="147"/>
      <c r="M9" s="146"/>
      <c r="N9" s="147"/>
      <c r="O9" s="146"/>
      <c r="P9" s="147"/>
      <c r="Q9" s="146">
        <v>12</v>
      </c>
      <c r="R9" s="147"/>
      <c r="S9" s="146">
        <v>29</v>
      </c>
      <c r="T9" s="147"/>
      <c r="U9" s="146">
        <v>32</v>
      </c>
      <c r="V9" s="147"/>
      <c r="W9" s="148">
        <v>44</v>
      </c>
      <c r="X9" s="149"/>
      <c r="Y9" s="145">
        <v>25</v>
      </c>
      <c r="Z9" s="149"/>
      <c r="AA9" s="150">
        <v>22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51"/>
      <c r="AO9" s="152"/>
      <c r="AP9" s="204"/>
      <c r="AQ9" s="205"/>
      <c r="AR9" s="206"/>
      <c r="AS9" s="225"/>
      <c r="AT9" s="226"/>
      <c r="AU9" s="226"/>
      <c r="AV9" s="227"/>
      <c r="AW9" s="205"/>
      <c r="AX9" s="206"/>
      <c r="AY9" s="363"/>
      <c r="AZ9" s="205"/>
      <c r="BA9" s="206"/>
      <c r="BB9" s="363"/>
      <c r="BC9" s="205"/>
      <c r="BD9" s="206"/>
      <c r="BE9" s="363"/>
      <c r="BF9" s="205"/>
      <c r="BG9" s="205"/>
      <c r="BH9" s="227"/>
      <c r="BI9" s="205"/>
      <c r="BJ9" s="205"/>
      <c r="BK9" s="227"/>
      <c r="BL9" s="205"/>
      <c r="BM9" s="205"/>
      <c r="BN9" s="438"/>
    </row>
    <row r="10" spans="1:66" ht="15" hidden="1" customHeight="1" x14ac:dyDescent="0.25">
      <c r="A10" s="513" t="s">
        <v>16</v>
      </c>
      <c r="B10" s="514"/>
      <c r="C10" s="143"/>
      <c r="D10" s="144"/>
      <c r="E10" s="145"/>
      <c r="F10" s="144"/>
      <c r="G10" s="146"/>
      <c r="H10" s="147"/>
      <c r="I10" s="146"/>
      <c r="J10" s="147"/>
      <c r="K10" s="146"/>
      <c r="L10" s="147"/>
      <c r="M10" s="146"/>
      <c r="N10" s="147"/>
      <c r="O10" s="146"/>
      <c r="P10" s="147"/>
      <c r="Q10" s="146">
        <v>12</v>
      </c>
      <c r="R10" s="147"/>
      <c r="S10" s="146">
        <v>27</v>
      </c>
      <c r="T10" s="147"/>
      <c r="U10" s="146">
        <v>23</v>
      </c>
      <c r="V10" s="147"/>
      <c r="W10" s="148">
        <v>33</v>
      </c>
      <c r="X10" s="149"/>
      <c r="Y10" s="145">
        <v>23</v>
      </c>
      <c r="Z10" s="149"/>
      <c r="AA10" s="150">
        <v>25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51"/>
      <c r="AO10" s="152"/>
      <c r="AP10" s="204"/>
      <c r="AQ10" s="205"/>
      <c r="AR10" s="206"/>
      <c r="AS10" s="225"/>
      <c r="AT10" s="226"/>
      <c r="AU10" s="226"/>
      <c r="AV10" s="227"/>
      <c r="AW10" s="205"/>
      <c r="AX10" s="206"/>
      <c r="AY10" s="363"/>
      <c r="AZ10" s="205"/>
      <c r="BA10" s="206"/>
      <c r="BB10" s="363"/>
      <c r="BC10" s="205"/>
      <c r="BD10" s="206"/>
      <c r="BE10" s="363"/>
      <c r="BF10" s="205"/>
      <c r="BG10" s="205"/>
      <c r="BH10" s="227"/>
      <c r="BI10" s="205"/>
      <c r="BJ10" s="205"/>
      <c r="BK10" s="227"/>
      <c r="BL10" s="205"/>
      <c r="BM10" s="205"/>
      <c r="BN10" s="438"/>
    </row>
    <row r="11" spans="1:66" hidden="1" x14ac:dyDescent="0.25">
      <c r="A11" s="153"/>
      <c r="B11" s="154" t="s">
        <v>11</v>
      </c>
      <c r="C11" s="143">
        <v>654</v>
      </c>
      <c r="D11" s="144"/>
      <c r="E11" s="145">
        <v>609</v>
      </c>
      <c r="F11" s="144"/>
      <c r="G11" s="146">
        <v>591</v>
      </c>
      <c r="H11" s="147"/>
      <c r="I11" s="146">
        <v>611</v>
      </c>
      <c r="J11" s="147"/>
      <c r="K11" s="146">
        <v>818</v>
      </c>
      <c r="L11" s="147"/>
      <c r="M11" s="146">
        <v>778</v>
      </c>
      <c r="N11" s="147"/>
      <c r="O11" s="146">
        <v>765</v>
      </c>
      <c r="P11" s="147"/>
      <c r="Q11" s="146">
        <f>828-1</f>
        <v>827</v>
      </c>
      <c r="R11" s="147"/>
      <c r="S11" s="146">
        <v>749</v>
      </c>
      <c r="T11" s="147"/>
      <c r="U11" s="146">
        <v>722</v>
      </c>
      <c r="V11" s="147"/>
      <c r="W11" s="148">
        <v>714</v>
      </c>
      <c r="X11" s="149"/>
      <c r="Y11" s="145">
        <v>797</v>
      </c>
      <c r="Z11" s="149"/>
      <c r="AA11" s="150">
        <v>790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51"/>
      <c r="AO11" s="152"/>
      <c r="AP11" s="204"/>
      <c r="AQ11" s="205"/>
      <c r="AR11" s="206"/>
      <c r="AS11" s="225"/>
      <c r="AT11" s="226"/>
      <c r="AU11" s="226"/>
      <c r="AV11" s="227"/>
      <c r="AW11" s="205"/>
      <c r="AX11" s="206"/>
      <c r="AY11" s="363"/>
      <c r="AZ11" s="205"/>
      <c r="BA11" s="206"/>
      <c r="BB11" s="363"/>
      <c r="BC11" s="205"/>
      <c r="BD11" s="206"/>
      <c r="BE11" s="363"/>
      <c r="BF11" s="205"/>
      <c r="BG11" s="205"/>
      <c r="BH11" s="227"/>
      <c r="BI11" s="205"/>
      <c r="BJ11" s="205"/>
      <c r="BK11" s="227"/>
      <c r="BL11" s="205"/>
      <c r="BM11" s="205"/>
      <c r="BN11" s="438"/>
    </row>
    <row r="12" spans="1:66" ht="15" hidden="1" customHeight="1" x14ac:dyDescent="0.25">
      <c r="A12" s="513" t="s">
        <v>18</v>
      </c>
      <c r="B12" s="514"/>
      <c r="C12" s="143"/>
      <c r="D12" s="144"/>
      <c r="E12" s="145"/>
      <c r="F12" s="144"/>
      <c r="G12" s="146"/>
      <c r="H12" s="147"/>
      <c r="I12" s="146"/>
      <c r="J12" s="147"/>
      <c r="K12" s="146"/>
      <c r="L12" s="147"/>
      <c r="M12" s="146"/>
      <c r="N12" s="147"/>
      <c r="O12" s="146"/>
      <c r="P12" s="147"/>
      <c r="Q12" s="146">
        <v>6</v>
      </c>
      <c r="R12" s="147"/>
      <c r="S12" s="146">
        <v>6</v>
      </c>
      <c r="T12" s="147"/>
      <c r="U12" s="146">
        <v>6</v>
      </c>
      <c r="V12" s="147"/>
      <c r="W12" s="148">
        <v>11</v>
      </c>
      <c r="X12" s="149"/>
      <c r="Y12" s="145">
        <v>5</v>
      </c>
      <c r="Z12" s="149"/>
      <c r="AA12" s="150">
        <v>5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51"/>
      <c r="AO12" s="152"/>
      <c r="AP12" s="204"/>
      <c r="AQ12" s="205"/>
      <c r="AR12" s="206"/>
      <c r="AS12" s="225"/>
      <c r="AT12" s="226"/>
      <c r="AU12" s="226"/>
      <c r="AV12" s="227"/>
      <c r="AW12" s="205"/>
      <c r="AX12" s="206"/>
      <c r="AY12" s="363"/>
      <c r="AZ12" s="205"/>
      <c r="BA12" s="206"/>
      <c r="BB12" s="363"/>
      <c r="BC12" s="205"/>
      <c r="BD12" s="206"/>
      <c r="BE12" s="363"/>
      <c r="BF12" s="205"/>
      <c r="BG12" s="205"/>
      <c r="BH12" s="227"/>
      <c r="BI12" s="205"/>
      <c r="BJ12" s="205"/>
      <c r="BK12" s="227"/>
      <c r="BL12" s="205"/>
      <c r="BM12" s="205"/>
      <c r="BN12" s="438"/>
    </row>
    <row r="13" spans="1:66" hidden="1" x14ac:dyDescent="0.25">
      <c r="A13" s="155"/>
      <c r="B13" s="154" t="s">
        <v>24</v>
      </c>
      <c r="C13" s="143"/>
      <c r="D13" s="144"/>
      <c r="E13" s="143"/>
      <c r="F13" s="144"/>
      <c r="G13" s="146"/>
      <c r="H13" s="147"/>
      <c r="I13" s="146"/>
      <c r="J13" s="147"/>
      <c r="K13" s="146"/>
      <c r="L13" s="147"/>
      <c r="M13" s="146"/>
      <c r="N13" s="147"/>
      <c r="O13" s="146"/>
      <c r="P13" s="147"/>
      <c r="Q13" s="146"/>
      <c r="R13" s="156"/>
      <c r="S13" s="157"/>
      <c r="T13" s="156"/>
      <c r="U13" s="158"/>
      <c r="V13" s="156"/>
      <c r="W13" s="159"/>
      <c r="X13" s="160"/>
      <c r="Y13" s="161"/>
      <c r="Z13" s="160"/>
      <c r="AA13" s="160"/>
      <c r="AB13" s="160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1"/>
      <c r="AO13" s="152"/>
      <c r="AP13" s="204"/>
      <c r="AQ13" s="205"/>
      <c r="AR13" s="206"/>
      <c r="AS13" s="225"/>
      <c r="AT13" s="226"/>
      <c r="AU13" s="226"/>
      <c r="AV13" s="227"/>
      <c r="AW13" s="205"/>
      <c r="AX13" s="206"/>
      <c r="AY13" s="363"/>
      <c r="AZ13" s="205"/>
      <c r="BA13" s="206"/>
      <c r="BB13" s="363"/>
      <c r="BC13" s="205"/>
      <c r="BD13" s="206"/>
      <c r="BE13" s="363"/>
      <c r="BF13" s="205"/>
      <c r="BG13" s="205"/>
      <c r="BH13" s="227"/>
      <c r="BI13" s="205"/>
      <c r="BJ13" s="205"/>
      <c r="BK13" s="227"/>
      <c r="BL13" s="205"/>
      <c r="BM13" s="205"/>
      <c r="BN13" s="438"/>
    </row>
    <row r="14" spans="1:66" hidden="1" x14ac:dyDescent="0.25">
      <c r="A14" s="153"/>
      <c r="B14" s="154" t="s">
        <v>19</v>
      </c>
      <c r="C14" s="143">
        <v>17</v>
      </c>
      <c r="D14" s="144"/>
      <c r="E14" s="145">
        <v>18</v>
      </c>
      <c r="F14" s="144"/>
      <c r="G14" s="146"/>
      <c r="H14" s="147"/>
      <c r="I14" s="146"/>
      <c r="J14" s="147"/>
      <c r="K14" s="146"/>
      <c r="L14" s="147"/>
      <c r="M14" s="146"/>
      <c r="N14" s="147"/>
      <c r="O14" s="146"/>
      <c r="P14" s="147"/>
      <c r="Q14" s="146">
        <v>46</v>
      </c>
      <c r="R14" s="147"/>
      <c r="S14" s="146">
        <v>46</v>
      </c>
      <c r="T14" s="147"/>
      <c r="U14" s="146">
        <v>37</v>
      </c>
      <c r="V14" s="147"/>
      <c r="W14" s="148">
        <v>61</v>
      </c>
      <c r="X14" s="149"/>
      <c r="Y14" s="145">
        <v>54</v>
      </c>
      <c r="Z14" s="149"/>
      <c r="AA14" s="150">
        <v>17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1"/>
      <c r="AO14" s="152"/>
      <c r="AP14" s="204"/>
      <c r="AQ14" s="205"/>
      <c r="AR14" s="206"/>
      <c r="AS14" s="225"/>
      <c r="AT14" s="226"/>
      <c r="AU14" s="226"/>
      <c r="AV14" s="227"/>
      <c r="AW14" s="205"/>
      <c r="AX14" s="206"/>
      <c r="AY14" s="363"/>
      <c r="AZ14" s="205"/>
      <c r="BA14" s="206"/>
      <c r="BB14" s="363"/>
      <c r="BC14" s="205"/>
      <c r="BD14" s="206"/>
      <c r="BE14" s="363"/>
      <c r="BF14" s="205"/>
      <c r="BG14" s="205"/>
      <c r="BH14" s="227"/>
      <c r="BI14" s="205"/>
      <c r="BJ14" s="205"/>
      <c r="BK14" s="227"/>
      <c r="BL14" s="205"/>
      <c r="BM14" s="205"/>
      <c r="BN14" s="438"/>
    </row>
    <row r="15" spans="1:66" hidden="1" x14ac:dyDescent="0.25">
      <c r="A15" s="153"/>
      <c r="B15" s="154" t="s">
        <v>12</v>
      </c>
      <c r="C15" s="145">
        <v>726</v>
      </c>
      <c r="D15" s="144"/>
      <c r="E15" s="145">
        <v>680</v>
      </c>
      <c r="F15" s="144"/>
      <c r="G15" s="146">
        <v>642</v>
      </c>
      <c r="H15" s="147"/>
      <c r="I15" s="146">
        <v>689</v>
      </c>
      <c r="J15" s="147"/>
      <c r="K15" s="146">
        <v>886</v>
      </c>
      <c r="L15" s="147"/>
      <c r="M15" s="146">
        <v>935</v>
      </c>
      <c r="N15" s="147"/>
      <c r="O15" s="146">
        <v>877</v>
      </c>
      <c r="P15" s="147"/>
      <c r="Q15" s="146">
        <f>940-1</f>
        <v>939</v>
      </c>
      <c r="R15" s="147"/>
      <c r="S15" s="146">
        <v>945</v>
      </c>
      <c r="T15" s="147"/>
      <c r="U15" s="146">
        <v>908</v>
      </c>
      <c r="V15" s="147"/>
      <c r="W15" s="148">
        <v>947</v>
      </c>
      <c r="X15" s="149"/>
      <c r="Y15" s="145">
        <v>981</v>
      </c>
      <c r="Z15" s="149"/>
      <c r="AA15" s="150">
        <f>SUM(AA7:AA14)</f>
        <v>956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1"/>
      <c r="AO15" s="152"/>
      <c r="AP15" s="204"/>
      <c r="AQ15" s="205"/>
      <c r="AR15" s="206"/>
      <c r="AS15" s="225"/>
      <c r="AT15" s="226"/>
      <c r="AU15" s="226"/>
      <c r="AV15" s="227"/>
      <c r="AW15" s="205"/>
      <c r="AX15" s="206"/>
      <c r="AY15" s="363"/>
      <c r="AZ15" s="205"/>
      <c r="BA15" s="206"/>
      <c r="BB15" s="363"/>
      <c r="BC15" s="205"/>
      <c r="BD15" s="206"/>
      <c r="BE15" s="363"/>
      <c r="BF15" s="205"/>
      <c r="BG15" s="205"/>
      <c r="BH15" s="227"/>
      <c r="BI15" s="205"/>
      <c r="BJ15" s="205"/>
      <c r="BK15" s="227"/>
      <c r="BL15" s="205"/>
      <c r="BM15" s="205"/>
      <c r="BN15" s="438"/>
    </row>
    <row r="16" spans="1:66" hidden="1" x14ac:dyDescent="0.25">
      <c r="A16" s="153"/>
      <c r="B16" s="154"/>
      <c r="C16" s="143"/>
      <c r="D16" s="144"/>
      <c r="E16" s="143"/>
      <c r="F16" s="144"/>
      <c r="G16" s="146"/>
      <c r="H16" s="147"/>
      <c r="I16" s="146"/>
      <c r="J16" s="147"/>
      <c r="K16" s="146"/>
      <c r="L16" s="147"/>
      <c r="M16" s="146"/>
      <c r="N16" s="147"/>
      <c r="O16" s="146"/>
      <c r="P16" s="147"/>
      <c r="Q16" s="146"/>
      <c r="R16" s="147"/>
      <c r="S16" s="146"/>
      <c r="T16" s="147"/>
      <c r="U16" s="146"/>
      <c r="V16" s="147"/>
      <c r="W16" s="148"/>
      <c r="X16" s="149"/>
      <c r="Y16" s="145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1"/>
      <c r="AO16" s="152"/>
      <c r="AP16" s="204"/>
      <c r="AQ16" s="205"/>
      <c r="AR16" s="206"/>
      <c r="AS16" s="225"/>
      <c r="AT16" s="226"/>
      <c r="AU16" s="226"/>
      <c r="AV16" s="227"/>
      <c r="AW16" s="205"/>
      <c r="AX16" s="206"/>
      <c r="AY16" s="363"/>
      <c r="AZ16" s="205"/>
      <c r="BA16" s="206"/>
      <c r="BB16" s="363"/>
      <c r="BC16" s="205"/>
      <c r="BD16" s="206"/>
      <c r="BE16" s="363"/>
      <c r="BF16" s="205"/>
      <c r="BG16" s="205"/>
      <c r="BH16" s="227"/>
      <c r="BI16" s="205"/>
      <c r="BJ16" s="205"/>
      <c r="BK16" s="227"/>
      <c r="BL16" s="205"/>
      <c r="BM16" s="205"/>
      <c r="BN16" s="438"/>
    </row>
    <row r="17" spans="1:66" x14ac:dyDescent="0.25">
      <c r="A17" s="137" t="s">
        <v>3</v>
      </c>
      <c r="B17" s="138"/>
      <c r="C17" s="114"/>
      <c r="D17" s="115"/>
      <c r="E17" s="114"/>
      <c r="F17" s="115"/>
      <c r="G17" s="116"/>
      <c r="H17" s="117"/>
      <c r="I17" s="116"/>
      <c r="J17" s="117"/>
      <c r="K17" s="116"/>
      <c r="L17" s="117"/>
      <c r="M17" s="116"/>
      <c r="N17" s="117"/>
      <c r="O17" s="116"/>
      <c r="P17" s="117"/>
      <c r="Q17" s="116"/>
      <c r="R17" s="117"/>
      <c r="S17" s="116"/>
      <c r="T17" s="117"/>
      <c r="U17" s="116"/>
      <c r="V17" s="117"/>
      <c r="W17" s="118"/>
      <c r="X17" s="119"/>
      <c r="Y17" s="120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39"/>
      <c r="AO17" s="123"/>
      <c r="AP17" s="140"/>
      <c r="AQ17" s="141"/>
      <c r="AR17" s="142"/>
      <c r="AS17" s="222"/>
      <c r="AT17" s="223"/>
      <c r="AU17" s="346"/>
      <c r="AV17" s="222"/>
      <c r="AW17" s="141"/>
      <c r="AX17" s="142"/>
      <c r="AY17" s="222"/>
      <c r="AZ17" s="141"/>
      <c r="BA17" s="142"/>
      <c r="BB17" s="222"/>
      <c r="BC17" s="141"/>
      <c r="BD17" s="142"/>
      <c r="BE17" s="222"/>
      <c r="BF17" s="141"/>
      <c r="BG17" s="141"/>
      <c r="BH17" s="224"/>
      <c r="BI17" s="141"/>
      <c r="BJ17" s="141"/>
      <c r="BK17" s="224"/>
      <c r="BL17" s="141"/>
      <c r="BM17" s="141"/>
      <c r="BN17" s="437"/>
    </row>
    <row r="18" spans="1:66" x14ac:dyDescent="0.25">
      <c r="A18" s="162"/>
      <c r="B18" s="369" t="s">
        <v>10</v>
      </c>
      <c r="C18" s="143">
        <v>14</v>
      </c>
      <c r="D18" s="144">
        <f>C18/C7</f>
        <v>0.25454545454545452</v>
      </c>
      <c r="E18" s="143">
        <v>14</v>
      </c>
      <c r="F18" s="144">
        <f>E18/E7</f>
        <v>0.26415094339622641</v>
      </c>
      <c r="G18" s="146">
        <v>10</v>
      </c>
      <c r="H18" s="147">
        <f>G18/G7</f>
        <v>0.30303030303030304</v>
      </c>
      <c r="I18" s="146">
        <v>15</v>
      </c>
      <c r="J18" s="147">
        <f>I18/I7</f>
        <v>0.25</v>
      </c>
      <c r="K18" s="146">
        <v>11</v>
      </c>
      <c r="L18" s="147">
        <f>K18/K7</f>
        <v>0.24444444444444444</v>
      </c>
      <c r="M18" s="146">
        <v>13</v>
      </c>
      <c r="N18" s="147">
        <f>M18/M7</f>
        <v>0.31707317073170732</v>
      </c>
      <c r="O18" s="146">
        <v>9</v>
      </c>
      <c r="P18" s="147">
        <f>O18/O7</f>
        <v>0.25714285714285712</v>
      </c>
      <c r="Q18" s="146">
        <v>11</v>
      </c>
      <c r="R18" s="163">
        <f>Q18/Q7</f>
        <v>0.34375</v>
      </c>
      <c r="S18" s="146">
        <v>24</v>
      </c>
      <c r="T18" s="163">
        <f>S18/S7</f>
        <v>0.27906976744186046</v>
      </c>
      <c r="U18" s="164">
        <v>16</v>
      </c>
      <c r="V18" s="163">
        <f>U18/U7</f>
        <v>0.19047619047619047</v>
      </c>
      <c r="W18" s="165">
        <v>22</v>
      </c>
      <c r="X18" s="166">
        <f>W18/W7</f>
        <v>0.27848101265822783</v>
      </c>
      <c r="Y18" s="167">
        <v>18</v>
      </c>
      <c r="Z18" s="166">
        <f>Y18/Y7</f>
        <v>0.24</v>
      </c>
      <c r="AA18" s="166"/>
      <c r="AB18" s="166">
        <v>0.26</v>
      </c>
      <c r="AC18" s="166">
        <v>0.33</v>
      </c>
      <c r="AD18" s="168">
        <f>10+26</f>
        <v>36</v>
      </c>
      <c r="AE18" s="168">
        <f>69+60</f>
        <v>129</v>
      </c>
      <c r="AF18" s="166">
        <v>0.27906976744186046</v>
      </c>
      <c r="AG18" s="168">
        <v>36</v>
      </c>
      <c r="AH18" s="168">
        <v>115</v>
      </c>
      <c r="AI18" s="166">
        <v>0.31304347826086959</v>
      </c>
      <c r="AJ18" s="169">
        <v>44</v>
      </c>
      <c r="AK18" s="169">
        <v>132</v>
      </c>
      <c r="AL18" s="166">
        <v>0.33587786259541985</v>
      </c>
      <c r="AM18" s="169">
        <v>43</v>
      </c>
      <c r="AN18" s="170">
        <v>129</v>
      </c>
      <c r="AO18" s="171">
        <v>0.33333333333333331</v>
      </c>
      <c r="AP18" s="370">
        <v>0.32</v>
      </c>
      <c r="AQ18" s="371">
        <v>41</v>
      </c>
      <c r="AR18" s="372">
        <v>107</v>
      </c>
      <c r="AS18" s="373">
        <v>0.38317757009345793</v>
      </c>
      <c r="AT18" s="374">
        <v>41</v>
      </c>
      <c r="AU18" s="375">
        <v>96</v>
      </c>
      <c r="AV18" s="376">
        <v>0.42708333333333331</v>
      </c>
      <c r="AW18" s="371">
        <v>42</v>
      </c>
      <c r="AX18" s="372">
        <v>117</v>
      </c>
      <c r="AY18" s="376">
        <v>0.35897435897435898</v>
      </c>
      <c r="AZ18" s="371">
        <v>36</v>
      </c>
      <c r="BA18" s="372">
        <v>130</v>
      </c>
      <c r="BB18" s="376">
        <f>AZ18/BA18</f>
        <v>0.27692307692307694</v>
      </c>
      <c r="BC18" s="371">
        <v>53</v>
      </c>
      <c r="BD18" s="372">
        <v>149</v>
      </c>
      <c r="BE18" s="376">
        <f>BC18/BD18</f>
        <v>0.35570469798657717</v>
      </c>
      <c r="BF18" s="371">
        <v>68</v>
      </c>
      <c r="BG18" s="371">
        <v>172</v>
      </c>
      <c r="BH18" s="377">
        <f>BF18/BG18</f>
        <v>0.39534883720930231</v>
      </c>
      <c r="BI18" s="371">
        <v>59</v>
      </c>
      <c r="BJ18" s="371">
        <v>156</v>
      </c>
      <c r="BK18" s="377">
        <f>BI18/BJ18</f>
        <v>0.37820512820512819</v>
      </c>
      <c r="BL18" s="371">
        <v>57</v>
      </c>
      <c r="BM18" s="371">
        <v>182</v>
      </c>
      <c r="BN18" s="439">
        <f>BL18/BM18</f>
        <v>0.31318681318681318</v>
      </c>
    </row>
    <row r="19" spans="1:66" x14ac:dyDescent="0.25">
      <c r="A19" s="518" t="s">
        <v>30</v>
      </c>
      <c r="B19" s="519"/>
      <c r="C19" s="143"/>
      <c r="D19" s="144"/>
      <c r="E19" s="143"/>
      <c r="F19" s="144"/>
      <c r="G19" s="146"/>
      <c r="H19" s="147"/>
      <c r="I19" s="146"/>
      <c r="J19" s="147"/>
      <c r="K19" s="146"/>
      <c r="L19" s="147"/>
      <c r="M19" s="146"/>
      <c r="N19" s="147"/>
      <c r="O19" s="146"/>
      <c r="P19" s="147"/>
      <c r="Q19" s="146">
        <v>1</v>
      </c>
      <c r="R19" s="163">
        <f>Q19/Q8</f>
        <v>0.25</v>
      </c>
      <c r="S19" s="146">
        <v>1</v>
      </c>
      <c r="T19" s="163">
        <f>S19/S8</f>
        <v>0.5</v>
      </c>
      <c r="U19" s="164">
        <v>1</v>
      </c>
      <c r="V19" s="163">
        <f>U19/U8</f>
        <v>0.25</v>
      </c>
      <c r="W19" s="165">
        <v>3</v>
      </c>
      <c r="X19" s="166">
        <f>W19/W8</f>
        <v>0.6</v>
      </c>
      <c r="Y19" s="167">
        <v>1</v>
      </c>
      <c r="Z19" s="166">
        <f>Y19/Y8</f>
        <v>0.5</v>
      </c>
      <c r="AA19" s="166"/>
      <c r="AB19" s="166">
        <v>0.33</v>
      </c>
      <c r="AC19" s="166">
        <v>0.4</v>
      </c>
      <c r="AD19" s="168">
        <f>2+2</f>
        <v>4</v>
      </c>
      <c r="AE19" s="168">
        <f>4+6</f>
        <v>10</v>
      </c>
      <c r="AF19" s="166">
        <v>0.4</v>
      </c>
      <c r="AG19" s="168">
        <v>3</v>
      </c>
      <c r="AH19" s="168">
        <v>6</v>
      </c>
      <c r="AI19" s="166">
        <v>0.5</v>
      </c>
      <c r="AJ19" s="169">
        <v>1</v>
      </c>
      <c r="AK19" s="169">
        <v>8</v>
      </c>
      <c r="AL19" s="166">
        <v>0.125</v>
      </c>
      <c r="AM19" s="169">
        <v>0</v>
      </c>
      <c r="AN19" s="170">
        <v>3</v>
      </c>
      <c r="AO19" s="171">
        <v>0</v>
      </c>
      <c r="AP19" s="370">
        <v>1</v>
      </c>
      <c r="AQ19" s="371">
        <v>1</v>
      </c>
      <c r="AR19" s="372">
        <v>4</v>
      </c>
      <c r="AS19" s="373">
        <v>0.25</v>
      </c>
      <c r="AT19" s="374">
        <v>0</v>
      </c>
      <c r="AU19" s="375">
        <v>0</v>
      </c>
      <c r="AV19" s="378" t="s">
        <v>47</v>
      </c>
      <c r="AW19" s="371">
        <v>8</v>
      </c>
      <c r="AX19" s="372">
        <v>12</v>
      </c>
      <c r="AY19" s="376">
        <v>0.66666666666666663</v>
      </c>
      <c r="AZ19" s="371">
        <v>6</v>
      </c>
      <c r="BA19" s="372">
        <v>12</v>
      </c>
      <c r="BB19" s="376">
        <f t="shared" ref="BB19:BB25" si="0">AZ19/BA19</f>
        <v>0.5</v>
      </c>
      <c r="BC19" s="371">
        <v>2</v>
      </c>
      <c r="BD19" s="372">
        <v>14</v>
      </c>
      <c r="BE19" s="376">
        <f t="shared" ref="BE19:BE26" si="1">BC19/BD19</f>
        <v>0.14285714285714285</v>
      </c>
      <c r="BF19" s="371">
        <v>6</v>
      </c>
      <c r="BG19" s="371">
        <v>13</v>
      </c>
      <c r="BH19" s="377">
        <f t="shared" ref="BH19:BH26" si="2">BF19/BG19</f>
        <v>0.46153846153846156</v>
      </c>
      <c r="BI19" s="371">
        <v>3</v>
      </c>
      <c r="BJ19" s="371">
        <v>11</v>
      </c>
      <c r="BK19" s="377">
        <f t="shared" ref="BK19:BK26" si="3">BI19/BJ19</f>
        <v>0.27272727272727271</v>
      </c>
      <c r="BL19" s="371">
        <v>4</v>
      </c>
      <c r="BM19" s="371">
        <v>20</v>
      </c>
      <c r="BN19" s="439">
        <f t="shared" ref="BN19:BN26" si="4">BL19/BM19</f>
        <v>0.2</v>
      </c>
    </row>
    <row r="20" spans="1:66" x14ac:dyDescent="0.25">
      <c r="A20" s="379"/>
      <c r="B20" s="369" t="s">
        <v>25</v>
      </c>
      <c r="C20" s="143"/>
      <c r="D20" s="144"/>
      <c r="E20" s="143"/>
      <c r="F20" s="144"/>
      <c r="G20" s="146"/>
      <c r="H20" s="147"/>
      <c r="I20" s="146"/>
      <c r="J20" s="147"/>
      <c r="K20" s="146"/>
      <c r="L20" s="147"/>
      <c r="M20" s="146"/>
      <c r="N20" s="147"/>
      <c r="O20" s="146"/>
      <c r="P20" s="147"/>
      <c r="Q20" s="146"/>
      <c r="R20" s="156"/>
      <c r="S20" s="157"/>
      <c r="T20" s="156"/>
      <c r="U20" s="158"/>
      <c r="V20" s="156"/>
      <c r="W20" s="159"/>
      <c r="X20" s="160"/>
      <c r="Y20" s="161"/>
      <c r="Z20" s="160"/>
      <c r="AA20" s="160"/>
      <c r="AB20" s="166">
        <v>0.32</v>
      </c>
      <c r="AC20" s="166">
        <v>0.44</v>
      </c>
      <c r="AD20" s="168">
        <f>4+4</f>
        <v>8</v>
      </c>
      <c r="AE20" s="168">
        <f>21+21</f>
        <v>42</v>
      </c>
      <c r="AF20" s="166">
        <v>0.19047619047619047</v>
      </c>
      <c r="AG20" s="168">
        <v>16</v>
      </c>
      <c r="AH20" s="168">
        <v>35</v>
      </c>
      <c r="AI20" s="166">
        <v>0.45714285714285713</v>
      </c>
      <c r="AJ20" s="169">
        <v>8</v>
      </c>
      <c r="AK20" s="169">
        <v>36</v>
      </c>
      <c r="AL20" s="166">
        <v>0.22222222222222221</v>
      </c>
      <c r="AM20" s="169">
        <v>11</v>
      </c>
      <c r="AN20" s="170">
        <v>40</v>
      </c>
      <c r="AO20" s="171">
        <v>0.27500000000000002</v>
      </c>
      <c r="AP20" s="370">
        <v>0.39</v>
      </c>
      <c r="AQ20" s="371">
        <v>15</v>
      </c>
      <c r="AR20" s="372">
        <v>42</v>
      </c>
      <c r="AS20" s="373">
        <v>0.35714285714285715</v>
      </c>
      <c r="AT20" s="374">
        <v>18</v>
      </c>
      <c r="AU20" s="375">
        <v>33</v>
      </c>
      <c r="AV20" s="376">
        <v>0.54545454545454541</v>
      </c>
      <c r="AW20" s="371">
        <v>9</v>
      </c>
      <c r="AX20" s="372">
        <v>37</v>
      </c>
      <c r="AY20" s="376">
        <v>0.24324324324324326</v>
      </c>
      <c r="AZ20" s="371">
        <v>24</v>
      </c>
      <c r="BA20" s="372">
        <v>49</v>
      </c>
      <c r="BB20" s="376">
        <f t="shared" si="0"/>
        <v>0.48979591836734693</v>
      </c>
      <c r="BC20" s="371">
        <v>23</v>
      </c>
      <c r="BD20" s="372">
        <v>61</v>
      </c>
      <c r="BE20" s="376">
        <f t="shared" si="1"/>
        <v>0.37704918032786883</v>
      </c>
      <c r="BF20" s="371">
        <v>23</v>
      </c>
      <c r="BG20" s="371">
        <v>56</v>
      </c>
      <c r="BH20" s="377">
        <f t="shared" si="2"/>
        <v>0.4107142857142857</v>
      </c>
      <c r="BI20" s="371">
        <v>26</v>
      </c>
      <c r="BJ20" s="371">
        <v>53</v>
      </c>
      <c r="BK20" s="377">
        <f t="shared" si="3"/>
        <v>0.49056603773584906</v>
      </c>
      <c r="BL20" s="371">
        <v>28</v>
      </c>
      <c r="BM20" s="371">
        <v>80</v>
      </c>
      <c r="BN20" s="439">
        <f t="shared" si="4"/>
        <v>0.35</v>
      </c>
    </row>
    <row r="21" spans="1:66" x14ac:dyDescent="0.25">
      <c r="A21" s="518" t="s">
        <v>16</v>
      </c>
      <c r="B21" s="519"/>
      <c r="C21" s="143"/>
      <c r="D21" s="144"/>
      <c r="E21" s="143"/>
      <c r="F21" s="144"/>
      <c r="G21" s="146"/>
      <c r="H21" s="147"/>
      <c r="I21" s="146"/>
      <c r="J21" s="147"/>
      <c r="K21" s="146"/>
      <c r="L21" s="147"/>
      <c r="M21" s="146"/>
      <c r="N21" s="147"/>
      <c r="O21" s="146"/>
      <c r="P21" s="147"/>
      <c r="Q21" s="146">
        <v>4</v>
      </c>
      <c r="R21" s="163">
        <f>Q21/Q10</f>
        <v>0.33333333333333331</v>
      </c>
      <c r="S21" s="146">
        <v>8</v>
      </c>
      <c r="T21" s="163">
        <f>S21/S10</f>
        <v>0.29629629629629628</v>
      </c>
      <c r="U21" s="164">
        <v>8</v>
      </c>
      <c r="V21" s="163">
        <f>U21/U10</f>
        <v>0.34782608695652173</v>
      </c>
      <c r="W21" s="165">
        <v>15</v>
      </c>
      <c r="X21" s="166">
        <f>W21/W10</f>
        <v>0.45454545454545453</v>
      </c>
      <c r="Y21" s="167">
        <v>10</v>
      </c>
      <c r="Z21" s="166">
        <f>Y21/Y10</f>
        <v>0.43478260869565216</v>
      </c>
      <c r="AA21" s="166"/>
      <c r="AB21" s="166">
        <v>0.4</v>
      </c>
      <c r="AC21" s="166">
        <v>0.3</v>
      </c>
      <c r="AD21" s="168">
        <f>2+5</f>
        <v>7</v>
      </c>
      <c r="AE21" s="168">
        <f>11+18</f>
        <v>29</v>
      </c>
      <c r="AF21" s="166">
        <v>0.2413793103448276</v>
      </c>
      <c r="AG21" s="168">
        <v>16</v>
      </c>
      <c r="AH21" s="168">
        <v>40</v>
      </c>
      <c r="AI21" s="166">
        <v>0.4</v>
      </c>
      <c r="AJ21" s="169">
        <v>18</v>
      </c>
      <c r="AK21" s="169">
        <v>55</v>
      </c>
      <c r="AL21" s="166">
        <v>0.32727272727272727</v>
      </c>
      <c r="AM21" s="169">
        <v>35</v>
      </c>
      <c r="AN21" s="170">
        <v>72</v>
      </c>
      <c r="AO21" s="171">
        <v>0.4861111111111111</v>
      </c>
      <c r="AP21" s="370">
        <v>0.33</v>
      </c>
      <c r="AQ21" s="371">
        <v>27</v>
      </c>
      <c r="AR21" s="372">
        <v>65</v>
      </c>
      <c r="AS21" s="373">
        <v>0.41538461538461541</v>
      </c>
      <c r="AT21" s="374">
        <v>22</v>
      </c>
      <c r="AU21" s="375">
        <v>62</v>
      </c>
      <c r="AV21" s="376">
        <v>0.35483870967741937</v>
      </c>
      <c r="AW21" s="371">
        <v>17</v>
      </c>
      <c r="AX21" s="372">
        <v>49</v>
      </c>
      <c r="AY21" s="376">
        <v>0.34693877551020408</v>
      </c>
      <c r="AZ21" s="371">
        <v>26</v>
      </c>
      <c r="BA21" s="372">
        <v>58</v>
      </c>
      <c r="BB21" s="376">
        <f t="shared" si="0"/>
        <v>0.44827586206896552</v>
      </c>
      <c r="BC21" s="371">
        <v>27</v>
      </c>
      <c r="BD21" s="372">
        <v>61</v>
      </c>
      <c r="BE21" s="376">
        <f t="shared" si="1"/>
        <v>0.44262295081967212</v>
      </c>
      <c r="BF21" s="371">
        <v>19</v>
      </c>
      <c r="BG21" s="371">
        <v>68</v>
      </c>
      <c r="BH21" s="377">
        <f t="shared" si="2"/>
        <v>0.27941176470588236</v>
      </c>
      <c r="BI21" s="371">
        <v>30</v>
      </c>
      <c r="BJ21" s="371">
        <v>78</v>
      </c>
      <c r="BK21" s="377">
        <f t="shared" si="3"/>
        <v>0.38461538461538464</v>
      </c>
      <c r="BL21" s="371">
        <v>34</v>
      </c>
      <c r="BM21" s="371">
        <v>88</v>
      </c>
      <c r="BN21" s="439">
        <f t="shared" si="4"/>
        <v>0.38636363636363635</v>
      </c>
    </row>
    <row r="22" spans="1:66" x14ac:dyDescent="0.25">
      <c r="A22" s="379"/>
      <c r="B22" s="369" t="s">
        <v>39</v>
      </c>
      <c r="C22" s="143"/>
      <c r="D22" s="144"/>
      <c r="E22" s="143"/>
      <c r="F22" s="144"/>
      <c r="G22" s="146"/>
      <c r="H22" s="147"/>
      <c r="I22" s="146"/>
      <c r="J22" s="147"/>
      <c r="K22" s="146"/>
      <c r="L22" s="147"/>
      <c r="M22" s="146"/>
      <c r="N22" s="147"/>
      <c r="O22" s="146"/>
      <c r="P22" s="147"/>
      <c r="Q22" s="146"/>
      <c r="R22" s="156"/>
      <c r="S22" s="157"/>
      <c r="T22" s="156"/>
      <c r="U22" s="158"/>
      <c r="V22" s="156"/>
      <c r="W22" s="159"/>
      <c r="X22" s="160"/>
      <c r="Y22" s="161"/>
      <c r="Z22" s="160"/>
      <c r="AA22" s="160"/>
      <c r="AB22" s="160"/>
      <c r="AC22" s="160"/>
      <c r="AD22" s="160"/>
      <c r="AE22" s="160"/>
      <c r="AF22" s="160"/>
      <c r="AG22" s="173"/>
      <c r="AH22" s="173"/>
      <c r="AI22" s="160"/>
      <c r="AJ22" s="160"/>
      <c r="AK22" s="160"/>
      <c r="AL22" s="160"/>
      <c r="AM22" s="174">
        <v>0</v>
      </c>
      <c r="AN22" s="175">
        <v>2</v>
      </c>
      <c r="AO22" s="171">
        <v>0</v>
      </c>
      <c r="AP22" s="370" t="s">
        <v>23</v>
      </c>
      <c r="AQ22" s="371">
        <v>0</v>
      </c>
      <c r="AR22" s="372">
        <v>1</v>
      </c>
      <c r="AS22" s="373">
        <v>0</v>
      </c>
      <c r="AT22" s="374">
        <v>1</v>
      </c>
      <c r="AU22" s="375">
        <v>2</v>
      </c>
      <c r="AV22" s="376">
        <v>0.5</v>
      </c>
      <c r="AW22" s="371">
        <v>1</v>
      </c>
      <c r="AX22" s="372">
        <v>1</v>
      </c>
      <c r="AY22" s="376">
        <v>1</v>
      </c>
      <c r="AZ22" s="371">
        <v>2</v>
      </c>
      <c r="BA22" s="372">
        <v>4</v>
      </c>
      <c r="BB22" s="376">
        <f t="shared" si="0"/>
        <v>0.5</v>
      </c>
      <c r="BC22" s="371">
        <v>1</v>
      </c>
      <c r="BD22" s="372">
        <v>3</v>
      </c>
      <c r="BE22" s="376">
        <f t="shared" si="1"/>
        <v>0.33333333333333331</v>
      </c>
      <c r="BF22" s="371">
        <v>1</v>
      </c>
      <c r="BG22" s="371">
        <v>2</v>
      </c>
      <c r="BH22" s="377">
        <f t="shared" si="2"/>
        <v>0.5</v>
      </c>
      <c r="BI22" s="371">
        <v>1</v>
      </c>
      <c r="BJ22" s="371">
        <v>1</v>
      </c>
      <c r="BK22" s="377">
        <f t="shared" si="3"/>
        <v>1</v>
      </c>
      <c r="BL22" s="371">
        <v>0</v>
      </c>
      <c r="BM22" s="371">
        <v>2</v>
      </c>
      <c r="BN22" s="439">
        <f t="shared" si="4"/>
        <v>0</v>
      </c>
    </row>
    <row r="23" spans="1:66" x14ac:dyDescent="0.25">
      <c r="A23" s="162"/>
      <c r="B23" s="369" t="s">
        <v>40</v>
      </c>
      <c r="C23" s="143">
        <v>278</v>
      </c>
      <c r="D23" s="144">
        <f>C23/C11</f>
        <v>0.42507645259938837</v>
      </c>
      <c r="E23" s="143">
        <v>245</v>
      </c>
      <c r="F23" s="144">
        <f>E23/E11</f>
        <v>0.40229885057471265</v>
      </c>
      <c r="G23" s="146">
        <v>305</v>
      </c>
      <c r="H23" s="147">
        <f>G23/G11</f>
        <v>0.5160744500846024</v>
      </c>
      <c r="I23" s="146">
        <v>291</v>
      </c>
      <c r="J23" s="147">
        <f>I23/I11</f>
        <v>0.47626841243862522</v>
      </c>
      <c r="K23" s="146">
        <v>403</v>
      </c>
      <c r="L23" s="147">
        <f>K23/K11</f>
        <v>0.49266503667481665</v>
      </c>
      <c r="M23" s="146">
        <v>374</v>
      </c>
      <c r="N23" s="147">
        <f>M23/M11</f>
        <v>0.48071979434447298</v>
      </c>
      <c r="O23" s="146">
        <v>418</v>
      </c>
      <c r="P23" s="147">
        <f>O23/O11</f>
        <v>0.54640522875816988</v>
      </c>
      <c r="Q23" s="146">
        <v>442</v>
      </c>
      <c r="R23" s="163">
        <f>Q23/Q11</f>
        <v>0.53446191051995162</v>
      </c>
      <c r="S23" s="146">
        <v>365</v>
      </c>
      <c r="T23" s="163">
        <f>S23/S11</f>
        <v>0.48731642189586116</v>
      </c>
      <c r="U23" s="164">
        <v>361</v>
      </c>
      <c r="V23" s="163">
        <f>U23/U11</f>
        <v>0.5</v>
      </c>
      <c r="W23" s="165">
        <v>342</v>
      </c>
      <c r="X23" s="166">
        <f>W23/W11</f>
        <v>0.47899159663865548</v>
      </c>
      <c r="Y23" s="167">
        <v>392</v>
      </c>
      <c r="Z23" s="166">
        <f>Y23/Y11</f>
        <v>0.49184441656210792</v>
      </c>
      <c r="AA23" s="166"/>
      <c r="AB23" s="166">
        <v>0.5</v>
      </c>
      <c r="AC23" s="166">
        <v>0.53</v>
      </c>
      <c r="AD23" s="168">
        <f>154+322</f>
        <v>476</v>
      </c>
      <c r="AE23" s="168">
        <f>389+538</f>
        <v>927</v>
      </c>
      <c r="AF23" s="166">
        <v>0.51403887688984884</v>
      </c>
      <c r="AG23" s="168">
        <v>460</v>
      </c>
      <c r="AH23" s="168">
        <v>995</v>
      </c>
      <c r="AI23" s="166">
        <v>0.46277665995975853</v>
      </c>
      <c r="AJ23" s="169">
        <v>501</v>
      </c>
      <c r="AK23" s="169">
        <v>1033</v>
      </c>
      <c r="AL23" s="166">
        <v>0.48546511627906974</v>
      </c>
      <c r="AM23" s="169">
        <v>485</v>
      </c>
      <c r="AN23" s="170">
        <v>950</v>
      </c>
      <c r="AO23" s="171">
        <v>0.51106427818756583</v>
      </c>
      <c r="AP23" s="370">
        <v>0.53</v>
      </c>
      <c r="AQ23" s="371">
        <v>465</v>
      </c>
      <c r="AR23" s="372">
        <v>882</v>
      </c>
      <c r="AS23" s="373">
        <v>0.52721088435374153</v>
      </c>
      <c r="AT23" s="374">
        <v>497</v>
      </c>
      <c r="AU23" s="375">
        <v>906</v>
      </c>
      <c r="AV23" s="376">
        <v>0.54856512141280356</v>
      </c>
      <c r="AW23" s="371">
        <v>465</v>
      </c>
      <c r="AX23" s="372">
        <v>871</v>
      </c>
      <c r="AY23" s="376">
        <v>0.53386911595866815</v>
      </c>
      <c r="AZ23" s="371">
        <v>472</v>
      </c>
      <c r="BA23" s="372">
        <v>876</v>
      </c>
      <c r="BB23" s="376">
        <f t="shared" si="0"/>
        <v>0.53881278538812782</v>
      </c>
      <c r="BC23" s="371">
        <v>529</v>
      </c>
      <c r="BD23" s="372">
        <v>967</v>
      </c>
      <c r="BE23" s="376">
        <f t="shared" si="1"/>
        <v>0.54705274043433294</v>
      </c>
      <c r="BF23" s="371">
        <v>500</v>
      </c>
      <c r="BG23" s="371">
        <v>951</v>
      </c>
      <c r="BH23" s="377">
        <f t="shared" si="2"/>
        <v>0.52576235541535221</v>
      </c>
      <c r="BI23" s="371">
        <v>504</v>
      </c>
      <c r="BJ23" s="371">
        <v>924</v>
      </c>
      <c r="BK23" s="377">
        <f t="shared" si="3"/>
        <v>0.54545454545454541</v>
      </c>
      <c r="BL23" s="371">
        <v>516</v>
      </c>
      <c r="BM23" s="371">
        <v>1037</v>
      </c>
      <c r="BN23" s="439">
        <f t="shared" si="4"/>
        <v>0.49758919961427195</v>
      </c>
    </row>
    <row r="24" spans="1:66" x14ac:dyDescent="0.25">
      <c r="A24" s="518" t="s">
        <v>67</v>
      </c>
      <c r="B24" s="519"/>
      <c r="C24" s="143"/>
      <c r="D24" s="144"/>
      <c r="E24" s="143"/>
      <c r="F24" s="144"/>
      <c r="G24" s="146"/>
      <c r="H24" s="147"/>
      <c r="I24" s="146"/>
      <c r="J24" s="147"/>
      <c r="K24" s="146"/>
      <c r="L24" s="147"/>
      <c r="M24" s="146"/>
      <c r="N24" s="147"/>
      <c r="O24" s="146"/>
      <c r="P24" s="147"/>
      <c r="Q24" s="146">
        <v>5</v>
      </c>
      <c r="R24" s="163">
        <f>Q24/Q12</f>
        <v>0.83333333333333337</v>
      </c>
      <c r="S24" s="146">
        <v>1</v>
      </c>
      <c r="T24" s="163">
        <f>S24/S12</f>
        <v>0.16666666666666666</v>
      </c>
      <c r="U24" s="164">
        <v>1</v>
      </c>
      <c r="V24" s="163">
        <f>U24/U12</f>
        <v>0.16666666666666666</v>
      </c>
      <c r="W24" s="165">
        <v>1</v>
      </c>
      <c r="X24" s="166">
        <f>W24/W12</f>
        <v>9.0909090909090912E-2</v>
      </c>
      <c r="Y24" s="167">
        <v>2</v>
      </c>
      <c r="Z24" s="166">
        <f>Y24/Y12</f>
        <v>0.4</v>
      </c>
      <c r="AA24" s="166"/>
      <c r="AB24" s="166">
        <v>0.6</v>
      </c>
      <c r="AC24" s="166">
        <v>0.33</v>
      </c>
      <c r="AD24" s="168">
        <v>1</v>
      </c>
      <c r="AE24" s="168">
        <v>1</v>
      </c>
      <c r="AF24" s="166">
        <v>1</v>
      </c>
      <c r="AG24" s="168">
        <v>1</v>
      </c>
      <c r="AH24" s="168">
        <v>3</v>
      </c>
      <c r="AI24" s="166">
        <v>0.33333333333333331</v>
      </c>
      <c r="AJ24" s="169">
        <v>1</v>
      </c>
      <c r="AK24" s="169">
        <v>7</v>
      </c>
      <c r="AL24" s="166">
        <v>0.14285714285714285</v>
      </c>
      <c r="AM24" s="169">
        <v>1</v>
      </c>
      <c r="AN24" s="170">
        <v>5</v>
      </c>
      <c r="AO24" s="171">
        <v>0.2</v>
      </c>
      <c r="AP24" s="370">
        <v>0.44</v>
      </c>
      <c r="AQ24" s="371">
        <v>6</v>
      </c>
      <c r="AR24" s="372">
        <v>14</v>
      </c>
      <c r="AS24" s="373">
        <v>0.42857142857142855</v>
      </c>
      <c r="AT24" s="374">
        <v>2</v>
      </c>
      <c r="AU24" s="375">
        <v>15</v>
      </c>
      <c r="AV24" s="376">
        <v>0.13333333333333333</v>
      </c>
      <c r="AW24" s="371">
        <v>3</v>
      </c>
      <c r="AX24" s="372">
        <v>10</v>
      </c>
      <c r="AY24" s="376">
        <v>0.3</v>
      </c>
      <c r="AZ24" s="371">
        <v>2</v>
      </c>
      <c r="BA24" s="372">
        <v>6</v>
      </c>
      <c r="BB24" s="376">
        <f t="shared" si="0"/>
        <v>0.33333333333333331</v>
      </c>
      <c r="BC24" s="371">
        <v>2</v>
      </c>
      <c r="BD24" s="372">
        <v>7</v>
      </c>
      <c r="BE24" s="376">
        <f t="shared" si="1"/>
        <v>0.2857142857142857</v>
      </c>
      <c r="BF24" s="371">
        <v>4</v>
      </c>
      <c r="BG24" s="371">
        <v>8</v>
      </c>
      <c r="BH24" s="377">
        <f t="shared" si="2"/>
        <v>0.5</v>
      </c>
      <c r="BI24" s="371">
        <v>3</v>
      </c>
      <c r="BJ24" s="371">
        <v>7</v>
      </c>
      <c r="BK24" s="377">
        <f t="shared" si="3"/>
        <v>0.42857142857142855</v>
      </c>
      <c r="BL24" s="371">
        <v>2</v>
      </c>
      <c r="BM24" s="371">
        <v>5</v>
      </c>
      <c r="BN24" s="439">
        <f t="shared" si="4"/>
        <v>0.4</v>
      </c>
    </row>
    <row r="25" spans="1:66" x14ac:dyDescent="0.25">
      <c r="A25" s="379"/>
      <c r="B25" s="369" t="s">
        <v>24</v>
      </c>
      <c r="C25" s="143"/>
      <c r="D25" s="144"/>
      <c r="E25" s="143"/>
      <c r="F25" s="144"/>
      <c r="G25" s="146"/>
      <c r="H25" s="147"/>
      <c r="I25" s="146"/>
      <c r="J25" s="147"/>
      <c r="K25" s="146"/>
      <c r="L25" s="147"/>
      <c r="M25" s="146"/>
      <c r="N25" s="147"/>
      <c r="O25" s="146"/>
      <c r="P25" s="147"/>
      <c r="Q25" s="146"/>
      <c r="R25" s="156"/>
      <c r="S25" s="157"/>
      <c r="T25" s="156"/>
      <c r="U25" s="158"/>
      <c r="V25" s="156"/>
      <c r="W25" s="159"/>
      <c r="X25" s="160"/>
      <c r="Y25" s="161"/>
      <c r="Z25" s="160"/>
      <c r="AA25" s="160"/>
      <c r="AB25" s="160"/>
      <c r="AC25" s="160"/>
      <c r="AD25" s="173"/>
      <c r="AE25" s="173"/>
      <c r="AF25" s="160"/>
      <c r="AG25" s="173"/>
      <c r="AH25" s="173"/>
      <c r="AI25" s="160"/>
      <c r="AJ25" s="160"/>
      <c r="AK25" s="160"/>
      <c r="AL25" s="160"/>
      <c r="AM25" s="169">
        <v>18</v>
      </c>
      <c r="AN25" s="170">
        <v>43</v>
      </c>
      <c r="AO25" s="171">
        <v>0.42857142857142855</v>
      </c>
      <c r="AP25" s="370">
        <v>0.56000000000000005</v>
      </c>
      <c r="AQ25" s="371">
        <v>24</v>
      </c>
      <c r="AR25" s="372">
        <v>54</v>
      </c>
      <c r="AS25" s="373">
        <v>0.44444444444444442</v>
      </c>
      <c r="AT25" s="374">
        <v>23</v>
      </c>
      <c r="AU25" s="375">
        <v>55</v>
      </c>
      <c r="AV25" s="376">
        <v>0.41818181818181815</v>
      </c>
      <c r="AW25" s="371">
        <v>5</v>
      </c>
      <c r="AX25" s="372">
        <v>18</v>
      </c>
      <c r="AY25" s="376">
        <v>0.27777777777777779</v>
      </c>
      <c r="AZ25" s="371">
        <v>3</v>
      </c>
      <c r="BA25" s="372">
        <v>10</v>
      </c>
      <c r="BB25" s="376">
        <f t="shared" si="0"/>
        <v>0.3</v>
      </c>
      <c r="BC25" s="371">
        <v>9</v>
      </c>
      <c r="BD25" s="372">
        <v>28</v>
      </c>
      <c r="BE25" s="376">
        <f t="shared" si="1"/>
        <v>0.32142857142857145</v>
      </c>
      <c r="BF25" s="371">
        <v>4</v>
      </c>
      <c r="BG25" s="371">
        <v>14</v>
      </c>
      <c r="BH25" s="377">
        <f t="shared" si="2"/>
        <v>0.2857142857142857</v>
      </c>
      <c r="BI25" s="371">
        <v>7</v>
      </c>
      <c r="BJ25" s="371">
        <v>20</v>
      </c>
      <c r="BK25" s="377">
        <f t="shared" si="3"/>
        <v>0.35</v>
      </c>
      <c r="BL25" s="371">
        <v>5</v>
      </c>
      <c r="BM25" s="371">
        <v>15</v>
      </c>
      <c r="BN25" s="439">
        <f t="shared" si="4"/>
        <v>0.33333333333333331</v>
      </c>
    </row>
    <row r="26" spans="1:66" x14ac:dyDescent="0.25">
      <c r="A26" s="162"/>
      <c r="B26" s="369" t="s">
        <v>41</v>
      </c>
      <c r="C26" s="143">
        <v>4</v>
      </c>
      <c r="D26" s="144">
        <f>C26/C14</f>
        <v>0.23529411764705882</v>
      </c>
      <c r="E26" s="143">
        <v>4</v>
      </c>
      <c r="F26" s="144">
        <f>E26/E14</f>
        <v>0.22222222222222221</v>
      </c>
      <c r="G26" s="146"/>
      <c r="H26" s="147" t="e">
        <f>G26/G14</f>
        <v>#DIV/0!</v>
      </c>
      <c r="I26" s="146"/>
      <c r="J26" s="147" t="e">
        <f>I26/I14</f>
        <v>#DIV/0!</v>
      </c>
      <c r="K26" s="146"/>
      <c r="L26" s="147" t="e">
        <f>K26/K14</f>
        <v>#DIV/0!</v>
      </c>
      <c r="M26" s="146"/>
      <c r="N26" s="147" t="e">
        <f>M26/M14</f>
        <v>#DIV/0!</v>
      </c>
      <c r="O26" s="146"/>
      <c r="P26" s="147" t="e">
        <f>O26/O14</f>
        <v>#DIV/0!</v>
      </c>
      <c r="Q26" s="146">
        <v>21</v>
      </c>
      <c r="R26" s="163">
        <f>Q26/Q14</f>
        <v>0.45652173913043476</v>
      </c>
      <c r="S26" s="146">
        <v>21</v>
      </c>
      <c r="T26" s="163">
        <f>S26/S14</f>
        <v>0.45652173913043476</v>
      </c>
      <c r="U26" s="164">
        <v>16</v>
      </c>
      <c r="V26" s="163">
        <f>U26/U14</f>
        <v>0.43243243243243246</v>
      </c>
      <c r="W26" s="165">
        <v>31</v>
      </c>
      <c r="X26" s="166">
        <f>W26/W14</f>
        <v>0.50819672131147542</v>
      </c>
      <c r="Y26" s="167">
        <v>26</v>
      </c>
      <c r="Z26" s="166">
        <f>Y26/Y14</f>
        <v>0.48148148148148145</v>
      </c>
      <c r="AA26" s="166"/>
      <c r="AB26" s="166">
        <v>0.41</v>
      </c>
      <c r="AC26" s="166">
        <v>0.17</v>
      </c>
      <c r="AD26" s="168">
        <v>1</v>
      </c>
      <c r="AE26" s="168">
        <f>3+2</f>
        <v>5</v>
      </c>
      <c r="AF26" s="166">
        <v>0.2</v>
      </c>
      <c r="AG26" s="168">
        <v>1</v>
      </c>
      <c r="AH26" s="168">
        <v>5</v>
      </c>
      <c r="AI26" s="166">
        <v>0.2</v>
      </c>
      <c r="AJ26" s="169">
        <v>4</v>
      </c>
      <c r="AK26" s="169">
        <v>4</v>
      </c>
      <c r="AL26" s="166">
        <v>1</v>
      </c>
      <c r="AM26" s="169">
        <v>2</v>
      </c>
      <c r="AN26" s="170">
        <v>6</v>
      </c>
      <c r="AO26" s="171">
        <v>0.33333333333333331</v>
      </c>
      <c r="AP26" s="370">
        <v>0.27</v>
      </c>
      <c r="AQ26" s="371">
        <v>29</v>
      </c>
      <c r="AR26" s="372">
        <v>59</v>
      </c>
      <c r="AS26" s="373">
        <v>0.49152542372881358</v>
      </c>
      <c r="AT26" s="374">
        <v>35</v>
      </c>
      <c r="AU26" s="375">
        <v>70</v>
      </c>
      <c r="AV26" s="376">
        <v>0.5</v>
      </c>
      <c r="AW26" s="371">
        <v>15</v>
      </c>
      <c r="AX26" s="372">
        <v>25</v>
      </c>
      <c r="AY26" s="376">
        <v>0.6</v>
      </c>
      <c r="AZ26" s="371">
        <v>20</v>
      </c>
      <c r="BA26" s="372">
        <v>40</v>
      </c>
      <c r="BB26" s="376">
        <f>AZ26/BA26</f>
        <v>0.5</v>
      </c>
      <c r="BC26" s="371">
        <v>20</v>
      </c>
      <c r="BD26" s="372">
        <v>37</v>
      </c>
      <c r="BE26" s="376">
        <f t="shared" si="1"/>
        <v>0.54054054054054057</v>
      </c>
      <c r="BF26" s="371">
        <v>22</v>
      </c>
      <c r="BG26" s="371">
        <v>40</v>
      </c>
      <c r="BH26" s="377">
        <f t="shared" si="2"/>
        <v>0.55000000000000004</v>
      </c>
      <c r="BI26" s="371">
        <v>19</v>
      </c>
      <c r="BJ26" s="371">
        <v>34</v>
      </c>
      <c r="BK26" s="377">
        <f t="shared" si="3"/>
        <v>0.55882352941176472</v>
      </c>
      <c r="BL26" s="371">
        <v>12</v>
      </c>
      <c r="BM26" s="371">
        <v>37</v>
      </c>
      <c r="BN26" s="439">
        <f t="shared" si="4"/>
        <v>0.32432432432432434</v>
      </c>
    </row>
    <row r="27" spans="1:66" x14ac:dyDescent="0.25">
      <c r="A27" s="176"/>
      <c r="B27" s="177" t="s">
        <v>12</v>
      </c>
      <c r="C27" s="178">
        <v>296</v>
      </c>
      <c r="D27" s="179">
        <f>C27/C15</f>
        <v>0.40771349862258954</v>
      </c>
      <c r="E27" s="178">
        <v>263</v>
      </c>
      <c r="F27" s="179">
        <f>E27/E15</f>
        <v>0.38676470588235295</v>
      </c>
      <c r="G27" s="180">
        <v>322</v>
      </c>
      <c r="H27" s="181">
        <f>G27/G15</f>
        <v>0.50155763239875384</v>
      </c>
      <c r="I27" s="180">
        <v>311</v>
      </c>
      <c r="J27" s="181">
        <f>I27/I15</f>
        <v>0.4513788098693759</v>
      </c>
      <c r="K27" s="180">
        <v>418</v>
      </c>
      <c r="L27" s="181">
        <f>K27/K15</f>
        <v>0.47178329571106092</v>
      </c>
      <c r="M27" s="180">
        <v>438</v>
      </c>
      <c r="N27" s="181">
        <f>M27/M15</f>
        <v>0.46844919786096256</v>
      </c>
      <c r="O27" s="180">
        <v>458</v>
      </c>
      <c r="P27" s="181">
        <f>O27/O15</f>
        <v>0.52223489167616877</v>
      </c>
      <c r="Q27" s="180">
        <v>488</v>
      </c>
      <c r="R27" s="182">
        <f>Q27/Q15</f>
        <v>0.51970181043663477</v>
      </c>
      <c r="S27" s="180">
        <v>429</v>
      </c>
      <c r="T27" s="182">
        <f>S27/S15</f>
        <v>0.45396825396825397</v>
      </c>
      <c r="U27" s="183">
        <v>417</v>
      </c>
      <c r="V27" s="182">
        <f>U27/U15</f>
        <v>0.45925110132158592</v>
      </c>
      <c r="W27" s="184">
        <v>433</v>
      </c>
      <c r="X27" s="185">
        <f>W27/W15</f>
        <v>0.45723336853220697</v>
      </c>
      <c r="Y27" s="186">
        <v>457</v>
      </c>
      <c r="Z27" s="185">
        <f>Y27/Y15</f>
        <v>0.46585117227319062</v>
      </c>
      <c r="AA27" s="185"/>
      <c r="AB27" s="185">
        <v>0.46</v>
      </c>
      <c r="AC27" s="185">
        <v>0.49</v>
      </c>
      <c r="AD27" s="187">
        <f>SUM(AD18:AD26)</f>
        <v>533</v>
      </c>
      <c r="AE27" s="187">
        <f>SUM(AE18:AE26)</f>
        <v>1143</v>
      </c>
      <c r="AF27" s="188">
        <v>0.46672504378283713</v>
      </c>
      <c r="AG27" s="187">
        <v>533</v>
      </c>
      <c r="AH27" s="187">
        <v>1199</v>
      </c>
      <c r="AI27" s="185">
        <v>0.44453711426188491</v>
      </c>
      <c r="AJ27" s="189">
        <v>577</v>
      </c>
      <c r="AK27" s="189">
        <v>1275</v>
      </c>
      <c r="AL27" s="185">
        <v>0.45326001571091906</v>
      </c>
      <c r="AM27" s="189">
        <v>595</v>
      </c>
      <c r="AN27" s="190">
        <v>1250</v>
      </c>
      <c r="AO27" s="191">
        <v>0.47676282051282054</v>
      </c>
      <c r="AP27" s="207">
        <v>0.49</v>
      </c>
      <c r="AQ27" s="208">
        <v>608</v>
      </c>
      <c r="AR27" s="209">
        <v>1228</v>
      </c>
      <c r="AS27" s="229">
        <v>0.49511400651465798</v>
      </c>
      <c r="AT27" s="230">
        <v>639</v>
      </c>
      <c r="AU27" s="347">
        <v>1239</v>
      </c>
      <c r="AV27" s="332">
        <v>0.5157384987893463</v>
      </c>
      <c r="AW27" s="208">
        <f>SUM(AW18:AW26)</f>
        <v>565</v>
      </c>
      <c r="AX27" s="209">
        <f>SUM(AX18:AX26)</f>
        <v>1140</v>
      </c>
      <c r="AY27" s="332">
        <v>0.49561403508771928</v>
      </c>
      <c r="AZ27" s="208">
        <f>SUM(AZ18:AZ26)</f>
        <v>591</v>
      </c>
      <c r="BA27" s="209">
        <v>1185</v>
      </c>
      <c r="BB27" s="332">
        <f>AZ27/BA27</f>
        <v>0.49873417721518987</v>
      </c>
      <c r="BC27" s="208">
        <f>SUM(BC18:BC26)</f>
        <v>666</v>
      </c>
      <c r="BD27" s="209">
        <f>SUM(BD18:BD26)</f>
        <v>1327</v>
      </c>
      <c r="BE27" s="332">
        <f>BC27/BD27</f>
        <v>0.50188394875659381</v>
      </c>
      <c r="BF27" s="208">
        <f>SUM(BF18:BF26)</f>
        <v>647</v>
      </c>
      <c r="BG27" s="208">
        <f>SUM(BG18:BG26)</f>
        <v>1324</v>
      </c>
      <c r="BH27" s="228">
        <f>BF27/BG27</f>
        <v>0.48867069486404835</v>
      </c>
      <c r="BI27" s="208">
        <f>SUM(BI18:BI26)</f>
        <v>652</v>
      </c>
      <c r="BJ27" s="208">
        <f>SUM(BJ18:BJ26)</f>
        <v>1284</v>
      </c>
      <c r="BK27" s="228">
        <f>BI27/BJ27</f>
        <v>0.50778816199376942</v>
      </c>
      <c r="BL27" s="208">
        <f>SUM(BL18:BL26)</f>
        <v>658</v>
      </c>
      <c r="BM27" s="208">
        <f>SUM(BM18:BM26)</f>
        <v>1466</v>
      </c>
      <c r="BN27" s="439">
        <f>BL27/BM27</f>
        <v>0.44884038199181447</v>
      </c>
    </row>
    <row r="28" spans="1:66" ht="12.75" customHeight="1" x14ac:dyDescent="0.25">
      <c r="A28" s="193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210"/>
      <c r="AQ28" s="210"/>
      <c r="AR28" s="210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  <c r="BK28" s="306"/>
      <c r="BL28" s="306"/>
      <c r="BM28" s="306"/>
      <c r="BN28" s="306"/>
    </row>
    <row r="29" spans="1:66" x14ac:dyDescent="0.25">
      <c r="A29" s="137" t="s">
        <v>5</v>
      </c>
      <c r="B29" s="138"/>
      <c r="C29" s="114"/>
      <c r="D29" s="115"/>
      <c r="E29" s="114"/>
      <c r="F29" s="115"/>
      <c r="G29" s="116"/>
      <c r="H29" s="117"/>
      <c r="I29" s="116"/>
      <c r="J29" s="117"/>
      <c r="K29" s="116"/>
      <c r="L29" s="117"/>
      <c r="M29" s="116"/>
      <c r="N29" s="117"/>
      <c r="O29" s="116"/>
      <c r="P29" s="117"/>
      <c r="Q29" s="116"/>
      <c r="R29" s="195"/>
      <c r="S29" s="116"/>
      <c r="T29" s="195"/>
      <c r="U29" s="196"/>
      <c r="V29" s="195"/>
      <c r="W29" s="197"/>
      <c r="X29" s="198"/>
      <c r="Y29" s="199"/>
      <c r="Z29" s="198"/>
      <c r="AA29" s="198"/>
      <c r="AB29" s="198"/>
      <c r="AC29" s="198"/>
      <c r="AD29" s="200"/>
      <c r="AE29" s="200"/>
      <c r="AF29" s="198"/>
      <c r="AG29" s="200"/>
      <c r="AH29" s="200"/>
      <c r="AI29" s="198"/>
      <c r="AJ29" s="119"/>
      <c r="AK29" s="119"/>
      <c r="AL29" s="198"/>
      <c r="AM29" s="119"/>
      <c r="AN29" s="139"/>
      <c r="AO29" s="201"/>
      <c r="AP29" s="211"/>
      <c r="AQ29" s="212"/>
      <c r="AR29" s="212"/>
      <c r="AS29" s="231"/>
      <c r="AT29" s="232"/>
      <c r="AU29" s="232"/>
      <c r="AV29" s="231"/>
      <c r="AW29" s="212"/>
      <c r="AX29" s="212"/>
      <c r="AY29" s="231"/>
      <c r="AZ29" s="212"/>
      <c r="BA29" s="212"/>
      <c r="BB29" s="231"/>
      <c r="BC29" s="212"/>
      <c r="BD29" s="212"/>
      <c r="BE29" s="231"/>
      <c r="BF29" s="212"/>
      <c r="BG29" s="212"/>
      <c r="BH29" s="231"/>
      <c r="BI29" s="212"/>
      <c r="BJ29" s="212"/>
      <c r="BK29" s="231"/>
      <c r="BL29" s="212"/>
      <c r="BM29" s="212"/>
      <c r="BN29" s="440"/>
    </row>
    <row r="30" spans="1:66" x14ac:dyDescent="0.25">
      <c r="A30" s="162"/>
      <c r="B30" s="369" t="s">
        <v>10</v>
      </c>
      <c r="C30" s="143">
        <v>22</v>
      </c>
      <c r="D30" s="144">
        <f>C30/C7</f>
        <v>0.4</v>
      </c>
      <c r="E30" s="143">
        <v>21</v>
      </c>
      <c r="F30" s="144">
        <f>E30/E7</f>
        <v>0.39622641509433965</v>
      </c>
      <c r="G30" s="146">
        <v>19</v>
      </c>
      <c r="H30" s="147">
        <f>G30/G7</f>
        <v>0.5757575757575758</v>
      </c>
      <c r="I30" s="146">
        <v>26</v>
      </c>
      <c r="J30" s="147">
        <f>I30/I7</f>
        <v>0.43333333333333335</v>
      </c>
      <c r="K30" s="146">
        <v>18</v>
      </c>
      <c r="L30" s="147">
        <f>K30/K7</f>
        <v>0.4</v>
      </c>
      <c r="M30" s="146">
        <v>16</v>
      </c>
      <c r="N30" s="147">
        <f>M30/M7</f>
        <v>0.3902439024390244</v>
      </c>
      <c r="O30" s="146">
        <v>19</v>
      </c>
      <c r="P30" s="147">
        <f>O30/O7</f>
        <v>0.54285714285714282</v>
      </c>
      <c r="Q30" s="146">
        <v>16</v>
      </c>
      <c r="R30" s="163">
        <f>Q30/Q7</f>
        <v>0.5</v>
      </c>
      <c r="S30" s="146">
        <v>44</v>
      </c>
      <c r="T30" s="163">
        <f>S30/S7</f>
        <v>0.51162790697674421</v>
      </c>
      <c r="U30" s="164">
        <v>38</v>
      </c>
      <c r="V30" s="163">
        <f>U30/U7</f>
        <v>0.45238095238095238</v>
      </c>
      <c r="W30" s="165">
        <v>45</v>
      </c>
      <c r="X30" s="166">
        <f>W30/W7</f>
        <v>0.569620253164557</v>
      </c>
      <c r="Y30" s="167">
        <v>35</v>
      </c>
      <c r="Z30" s="166">
        <f>Y30/Y7</f>
        <v>0.46666666666666667</v>
      </c>
      <c r="AA30" s="166"/>
      <c r="AB30" s="166">
        <v>0.51</v>
      </c>
      <c r="AC30" s="166">
        <v>0.56999999999999995</v>
      </c>
      <c r="AD30" s="168">
        <f>+AD18+11+16</f>
        <v>63</v>
      </c>
      <c r="AE30" s="168">
        <f>69+60</f>
        <v>129</v>
      </c>
      <c r="AF30" s="166">
        <v>0.48837209302325579</v>
      </c>
      <c r="AG30" s="168">
        <v>54</v>
      </c>
      <c r="AH30" s="168">
        <v>115</v>
      </c>
      <c r="AI30" s="166">
        <v>0.46956521739130436</v>
      </c>
      <c r="AJ30" s="169">
        <v>77</v>
      </c>
      <c r="AK30" s="169">
        <v>132</v>
      </c>
      <c r="AL30" s="166">
        <v>0.58778625954198471</v>
      </c>
      <c r="AM30" s="169">
        <v>77</v>
      </c>
      <c r="AN30" s="170">
        <v>129</v>
      </c>
      <c r="AO30" s="172">
        <v>0.5968992248062015</v>
      </c>
      <c r="AP30" s="370">
        <v>0.59</v>
      </c>
      <c r="AQ30" s="382">
        <v>60</v>
      </c>
      <c r="AR30" s="382">
        <v>107</v>
      </c>
      <c r="AS30" s="383">
        <v>0.56074766355140182</v>
      </c>
      <c r="AT30" s="384">
        <v>57</v>
      </c>
      <c r="AU30" s="374">
        <v>96</v>
      </c>
      <c r="AV30" s="385">
        <v>0.59375</v>
      </c>
      <c r="AW30" s="382">
        <v>67</v>
      </c>
      <c r="AX30" s="371">
        <v>117</v>
      </c>
      <c r="AY30" s="385">
        <v>0.57264957264957261</v>
      </c>
      <c r="AZ30" s="382">
        <v>76</v>
      </c>
      <c r="BA30" s="371">
        <v>130</v>
      </c>
      <c r="BB30" s="385">
        <f>AZ30/BA30</f>
        <v>0.58461538461538465</v>
      </c>
      <c r="BC30" s="382">
        <v>89</v>
      </c>
      <c r="BD30" s="371">
        <v>149</v>
      </c>
      <c r="BE30" s="385">
        <f>BC30/BD30</f>
        <v>0.59731543624161076</v>
      </c>
      <c r="BF30" s="382">
        <v>95</v>
      </c>
      <c r="BG30" s="371">
        <f>BG18</f>
        <v>172</v>
      </c>
      <c r="BH30" s="385">
        <f>BF30/BG30</f>
        <v>0.55232558139534882</v>
      </c>
      <c r="BI30" s="382">
        <v>89</v>
      </c>
      <c r="BJ30" s="371">
        <f>BJ18</f>
        <v>156</v>
      </c>
      <c r="BK30" s="385">
        <f>BI30/BJ30</f>
        <v>0.57051282051282048</v>
      </c>
      <c r="BL30" s="382">
        <v>85</v>
      </c>
      <c r="BM30" s="371">
        <f>BM18</f>
        <v>182</v>
      </c>
      <c r="BN30" s="441">
        <f>BL30/BM30</f>
        <v>0.46703296703296704</v>
      </c>
    </row>
    <row r="31" spans="1:66" x14ac:dyDescent="0.25">
      <c r="A31" s="518" t="s">
        <v>30</v>
      </c>
      <c r="B31" s="519"/>
      <c r="C31" s="143"/>
      <c r="D31" s="144"/>
      <c r="E31" s="143"/>
      <c r="F31" s="144"/>
      <c r="G31" s="146"/>
      <c r="H31" s="147"/>
      <c r="I31" s="146"/>
      <c r="J31" s="147"/>
      <c r="K31" s="146"/>
      <c r="L31" s="147"/>
      <c r="M31" s="146"/>
      <c r="N31" s="147"/>
      <c r="O31" s="146"/>
      <c r="P31" s="147"/>
      <c r="Q31" s="146">
        <v>1</v>
      </c>
      <c r="R31" s="163">
        <f>Q31/Q8</f>
        <v>0.25</v>
      </c>
      <c r="S31" s="146">
        <v>1</v>
      </c>
      <c r="T31" s="163">
        <f>S31/S8</f>
        <v>0.5</v>
      </c>
      <c r="U31" s="164">
        <v>1</v>
      </c>
      <c r="V31" s="163">
        <f>U31/U8</f>
        <v>0.25</v>
      </c>
      <c r="W31" s="165">
        <v>5</v>
      </c>
      <c r="X31" s="166">
        <f>W31/W8</f>
        <v>1</v>
      </c>
      <c r="Y31" s="167">
        <v>2</v>
      </c>
      <c r="Z31" s="166">
        <f>Y31/Y8</f>
        <v>1</v>
      </c>
      <c r="AA31" s="166"/>
      <c r="AB31" s="166">
        <v>0.33</v>
      </c>
      <c r="AC31" s="166">
        <v>0.6</v>
      </c>
      <c r="AD31" s="168">
        <f>+AD19+2</f>
        <v>6</v>
      </c>
      <c r="AE31" s="168">
        <f>4+6</f>
        <v>10</v>
      </c>
      <c r="AF31" s="166">
        <v>0.6</v>
      </c>
      <c r="AG31" s="168">
        <v>4</v>
      </c>
      <c r="AH31" s="168">
        <v>6</v>
      </c>
      <c r="AI31" s="166">
        <v>0.66666666666666663</v>
      </c>
      <c r="AJ31" s="169">
        <v>4</v>
      </c>
      <c r="AK31" s="169">
        <v>8</v>
      </c>
      <c r="AL31" s="166">
        <v>0.5</v>
      </c>
      <c r="AM31" s="169">
        <v>0</v>
      </c>
      <c r="AN31" s="170">
        <v>3</v>
      </c>
      <c r="AO31" s="172">
        <v>0</v>
      </c>
      <c r="AP31" s="370">
        <v>1</v>
      </c>
      <c r="AQ31" s="382">
        <v>2</v>
      </c>
      <c r="AR31" s="382">
        <v>4</v>
      </c>
      <c r="AS31" s="383">
        <v>0.5</v>
      </c>
      <c r="AT31" s="384">
        <v>0</v>
      </c>
      <c r="AU31" s="375">
        <v>0</v>
      </c>
      <c r="AV31" s="378" t="s">
        <v>47</v>
      </c>
      <c r="AW31" s="382">
        <v>9</v>
      </c>
      <c r="AX31" s="371">
        <v>12</v>
      </c>
      <c r="AY31" s="385">
        <v>0.75</v>
      </c>
      <c r="AZ31" s="382">
        <v>7</v>
      </c>
      <c r="BA31" s="371">
        <v>12</v>
      </c>
      <c r="BB31" s="385">
        <f t="shared" ref="BB31:BB39" si="5">AZ31/BA31</f>
        <v>0.58333333333333337</v>
      </c>
      <c r="BC31" s="382">
        <v>4</v>
      </c>
      <c r="BD31" s="371">
        <v>14</v>
      </c>
      <c r="BE31" s="385">
        <f t="shared" ref="BE31:BE39" si="6">BC31/BD31</f>
        <v>0.2857142857142857</v>
      </c>
      <c r="BF31" s="382">
        <v>7</v>
      </c>
      <c r="BG31" s="371">
        <f t="shared" ref="BG31:BG38" si="7">BG19</f>
        <v>13</v>
      </c>
      <c r="BH31" s="385">
        <f t="shared" ref="BH31:BH39" si="8">BF31/BG31</f>
        <v>0.53846153846153844</v>
      </c>
      <c r="BI31" s="382">
        <v>6</v>
      </c>
      <c r="BJ31" s="371">
        <f t="shared" ref="BJ31:BJ38" si="9">BJ19</f>
        <v>11</v>
      </c>
      <c r="BK31" s="385">
        <f t="shared" ref="BK31:BK39" si="10">BI31/BJ31</f>
        <v>0.54545454545454541</v>
      </c>
      <c r="BL31" s="382">
        <v>6</v>
      </c>
      <c r="BM31" s="371">
        <f t="shared" ref="BM31:BM38" si="11">BM19</f>
        <v>20</v>
      </c>
      <c r="BN31" s="441">
        <f t="shared" ref="BN31:BN39" si="12">BL31/BM31</f>
        <v>0.3</v>
      </c>
    </row>
    <row r="32" spans="1:66" x14ac:dyDescent="0.25">
      <c r="A32" s="379"/>
      <c r="B32" s="369" t="s">
        <v>25</v>
      </c>
      <c r="C32" s="143"/>
      <c r="D32" s="144"/>
      <c r="E32" s="143"/>
      <c r="F32" s="144"/>
      <c r="G32" s="146"/>
      <c r="H32" s="147"/>
      <c r="I32" s="146"/>
      <c r="J32" s="147"/>
      <c r="K32" s="146"/>
      <c r="L32" s="147"/>
      <c r="M32" s="146"/>
      <c r="N32" s="147"/>
      <c r="O32" s="146"/>
      <c r="P32" s="147"/>
      <c r="Q32" s="146"/>
      <c r="R32" s="156"/>
      <c r="S32" s="157"/>
      <c r="T32" s="156"/>
      <c r="U32" s="158"/>
      <c r="V32" s="156"/>
      <c r="W32" s="159"/>
      <c r="X32" s="160"/>
      <c r="Y32" s="161"/>
      <c r="Z32" s="160"/>
      <c r="AA32" s="160"/>
      <c r="AB32" s="166">
        <v>0.55000000000000004</v>
      </c>
      <c r="AC32" s="166">
        <v>0.5</v>
      </c>
      <c r="AD32" s="168">
        <f>+AD20+4+7</f>
        <v>19</v>
      </c>
      <c r="AE32" s="168">
        <f>21+21</f>
        <v>42</v>
      </c>
      <c r="AF32" s="166">
        <v>0.45238095238095238</v>
      </c>
      <c r="AG32" s="168">
        <v>23</v>
      </c>
      <c r="AH32" s="168">
        <v>35</v>
      </c>
      <c r="AI32" s="166">
        <v>0.65714285714285714</v>
      </c>
      <c r="AJ32" s="169">
        <v>16</v>
      </c>
      <c r="AK32" s="169">
        <v>36</v>
      </c>
      <c r="AL32" s="166">
        <v>0.44444444444444442</v>
      </c>
      <c r="AM32" s="169">
        <v>16</v>
      </c>
      <c r="AN32" s="170">
        <v>40</v>
      </c>
      <c r="AO32" s="172">
        <v>0.4</v>
      </c>
      <c r="AP32" s="370">
        <v>0.49</v>
      </c>
      <c r="AQ32" s="382">
        <v>25</v>
      </c>
      <c r="AR32" s="382">
        <v>42</v>
      </c>
      <c r="AS32" s="383">
        <v>0.59523809523809523</v>
      </c>
      <c r="AT32" s="384">
        <v>27</v>
      </c>
      <c r="AU32" s="374">
        <v>33</v>
      </c>
      <c r="AV32" s="385">
        <v>0.81818181818181823</v>
      </c>
      <c r="AW32" s="382">
        <v>18</v>
      </c>
      <c r="AX32" s="371">
        <v>37</v>
      </c>
      <c r="AY32" s="385">
        <v>0.48648648648648651</v>
      </c>
      <c r="AZ32" s="382">
        <v>30</v>
      </c>
      <c r="BA32" s="371">
        <v>49</v>
      </c>
      <c r="BB32" s="385">
        <f t="shared" si="5"/>
        <v>0.61224489795918369</v>
      </c>
      <c r="BC32" s="382">
        <v>29</v>
      </c>
      <c r="BD32" s="371">
        <v>61</v>
      </c>
      <c r="BE32" s="385">
        <f t="shared" si="6"/>
        <v>0.47540983606557374</v>
      </c>
      <c r="BF32" s="382">
        <v>36</v>
      </c>
      <c r="BG32" s="371">
        <f t="shared" si="7"/>
        <v>56</v>
      </c>
      <c r="BH32" s="385">
        <f t="shared" si="8"/>
        <v>0.6428571428571429</v>
      </c>
      <c r="BI32" s="382">
        <v>31</v>
      </c>
      <c r="BJ32" s="371">
        <f t="shared" si="9"/>
        <v>53</v>
      </c>
      <c r="BK32" s="385">
        <f t="shared" si="10"/>
        <v>0.58490566037735847</v>
      </c>
      <c r="BL32" s="382">
        <v>40</v>
      </c>
      <c r="BM32" s="371">
        <f t="shared" si="11"/>
        <v>80</v>
      </c>
      <c r="BN32" s="441">
        <f t="shared" si="12"/>
        <v>0.5</v>
      </c>
    </row>
    <row r="33" spans="1:66" x14ac:dyDescent="0.25">
      <c r="A33" s="518" t="s">
        <v>16</v>
      </c>
      <c r="B33" s="519"/>
      <c r="C33" s="143"/>
      <c r="D33" s="144"/>
      <c r="E33" s="143"/>
      <c r="F33" s="144"/>
      <c r="G33" s="146"/>
      <c r="H33" s="147"/>
      <c r="I33" s="146"/>
      <c r="J33" s="147"/>
      <c r="K33" s="146"/>
      <c r="L33" s="147"/>
      <c r="M33" s="146"/>
      <c r="N33" s="147"/>
      <c r="O33" s="146"/>
      <c r="P33" s="147"/>
      <c r="Q33" s="146">
        <v>5</v>
      </c>
      <c r="R33" s="163">
        <f>Q33/Q10</f>
        <v>0.41666666666666669</v>
      </c>
      <c r="S33" s="146">
        <v>16</v>
      </c>
      <c r="T33" s="163">
        <f>S33/S10</f>
        <v>0.59259259259259256</v>
      </c>
      <c r="U33" s="164">
        <v>14</v>
      </c>
      <c r="V33" s="163">
        <f>U33/U10</f>
        <v>0.60869565217391308</v>
      </c>
      <c r="W33" s="165">
        <v>21</v>
      </c>
      <c r="X33" s="166">
        <f>W33/W10</f>
        <v>0.63636363636363635</v>
      </c>
      <c r="Y33" s="167">
        <v>13</v>
      </c>
      <c r="Z33" s="166">
        <f>Y33/Y10</f>
        <v>0.56521739130434778</v>
      </c>
      <c r="AA33" s="166"/>
      <c r="AB33" s="166">
        <v>0.6</v>
      </c>
      <c r="AC33" s="166">
        <v>0.4</v>
      </c>
      <c r="AD33" s="168">
        <f>+AD21+1+4</f>
        <v>12</v>
      </c>
      <c r="AE33" s="168">
        <f>11+18</f>
        <v>29</v>
      </c>
      <c r="AF33" s="166">
        <v>0.41379310344827586</v>
      </c>
      <c r="AG33" s="168">
        <v>23</v>
      </c>
      <c r="AH33" s="168">
        <v>40</v>
      </c>
      <c r="AI33" s="166">
        <v>0.57499999999999996</v>
      </c>
      <c r="AJ33" s="169">
        <v>31</v>
      </c>
      <c r="AK33" s="169">
        <v>55</v>
      </c>
      <c r="AL33" s="166">
        <v>0.5636363636363636</v>
      </c>
      <c r="AM33" s="169">
        <v>51</v>
      </c>
      <c r="AN33" s="170">
        <v>72</v>
      </c>
      <c r="AO33" s="172">
        <v>0.70833333333333337</v>
      </c>
      <c r="AP33" s="370">
        <v>0.56000000000000005</v>
      </c>
      <c r="AQ33" s="382">
        <v>37</v>
      </c>
      <c r="AR33" s="382">
        <v>65</v>
      </c>
      <c r="AS33" s="383">
        <v>0.56923076923076921</v>
      </c>
      <c r="AT33" s="384">
        <v>33</v>
      </c>
      <c r="AU33" s="374">
        <v>62</v>
      </c>
      <c r="AV33" s="385">
        <v>0.532258064516129</v>
      </c>
      <c r="AW33" s="382">
        <v>24</v>
      </c>
      <c r="AX33" s="371">
        <v>49</v>
      </c>
      <c r="AY33" s="385">
        <v>0.48979591836734693</v>
      </c>
      <c r="AZ33" s="382">
        <v>39</v>
      </c>
      <c r="BA33" s="371">
        <v>58</v>
      </c>
      <c r="BB33" s="385">
        <f t="shared" si="5"/>
        <v>0.67241379310344829</v>
      </c>
      <c r="BC33" s="382">
        <v>39</v>
      </c>
      <c r="BD33" s="371">
        <v>61</v>
      </c>
      <c r="BE33" s="385">
        <f t="shared" si="6"/>
        <v>0.63934426229508201</v>
      </c>
      <c r="BF33" s="382">
        <v>36</v>
      </c>
      <c r="BG33" s="371">
        <f t="shared" si="7"/>
        <v>68</v>
      </c>
      <c r="BH33" s="385">
        <f t="shared" si="8"/>
        <v>0.52941176470588236</v>
      </c>
      <c r="BI33" s="382">
        <v>42</v>
      </c>
      <c r="BJ33" s="371">
        <f t="shared" si="9"/>
        <v>78</v>
      </c>
      <c r="BK33" s="385">
        <f t="shared" si="10"/>
        <v>0.53846153846153844</v>
      </c>
      <c r="BL33" s="382">
        <v>47</v>
      </c>
      <c r="BM33" s="371">
        <f t="shared" si="11"/>
        <v>88</v>
      </c>
      <c r="BN33" s="441">
        <f t="shared" si="12"/>
        <v>0.53409090909090906</v>
      </c>
    </row>
    <row r="34" spans="1:66" x14ac:dyDescent="0.25">
      <c r="A34" s="379"/>
      <c r="B34" s="369" t="s">
        <v>39</v>
      </c>
      <c r="C34" s="143"/>
      <c r="D34" s="144"/>
      <c r="E34" s="143"/>
      <c r="F34" s="144"/>
      <c r="G34" s="146"/>
      <c r="H34" s="147"/>
      <c r="I34" s="146"/>
      <c r="J34" s="147"/>
      <c r="K34" s="146"/>
      <c r="L34" s="147"/>
      <c r="M34" s="146"/>
      <c r="N34" s="147"/>
      <c r="O34" s="146"/>
      <c r="P34" s="147"/>
      <c r="Q34" s="146"/>
      <c r="R34" s="156"/>
      <c r="S34" s="157"/>
      <c r="T34" s="156"/>
      <c r="U34" s="158"/>
      <c r="V34" s="156"/>
      <c r="W34" s="159"/>
      <c r="X34" s="160"/>
      <c r="Y34" s="161"/>
      <c r="Z34" s="160"/>
      <c r="AA34" s="160"/>
      <c r="AB34" s="160"/>
      <c r="AC34" s="160"/>
      <c r="AD34" s="160"/>
      <c r="AE34" s="160"/>
      <c r="AF34" s="160"/>
      <c r="AG34" s="173"/>
      <c r="AH34" s="173"/>
      <c r="AI34" s="160"/>
      <c r="AJ34" s="160"/>
      <c r="AK34" s="160"/>
      <c r="AL34" s="160"/>
      <c r="AM34" s="174">
        <v>0</v>
      </c>
      <c r="AN34" s="175">
        <v>2</v>
      </c>
      <c r="AO34" s="172">
        <v>0</v>
      </c>
      <c r="AP34" s="370" t="s">
        <v>23</v>
      </c>
      <c r="AQ34" s="382">
        <v>0</v>
      </c>
      <c r="AR34" s="382">
        <v>1</v>
      </c>
      <c r="AS34" s="383">
        <v>0</v>
      </c>
      <c r="AT34" s="384">
        <v>1</v>
      </c>
      <c r="AU34" s="374">
        <v>2</v>
      </c>
      <c r="AV34" s="385">
        <v>0.5</v>
      </c>
      <c r="AW34" s="382">
        <v>1</v>
      </c>
      <c r="AX34" s="371">
        <v>1</v>
      </c>
      <c r="AY34" s="385">
        <v>1</v>
      </c>
      <c r="AZ34" s="382">
        <v>2</v>
      </c>
      <c r="BA34" s="371">
        <v>4</v>
      </c>
      <c r="BB34" s="385">
        <f t="shared" si="5"/>
        <v>0.5</v>
      </c>
      <c r="BC34" s="382">
        <v>2</v>
      </c>
      <c r="BD34" s="371">
        <v>3</v>
      </c>
      <c r="BE34" s="385">
        <f t="shared" si="6"/>
        <v>0.66666666666666663</v>
      </c>
      <c r="BF34" s="382">
        <v>1</v>
      </c>
      <c r="BG34" s="371">
        <f t="shared" si="7"/>
        <v>2</v>
      </c>
      <c r="BH34" s="385">
        <f t="shared" si="8"/>
        <v>0.5</v>
      </c>
      <c r="BI34" s="382">
        <v>1</v>
      </c>
      <c r="BJ34" s="371">
        <f t="shared" si="9"/>
        <v>1</v>
      </c>
      <c r="BK34" s="385">
        <f t="shared" si="10"/>
        <v>1</v>
      </c>
      <c r="BL34" s="382">
        <v>0</v>
      </c>
      <c r="BM34" s="371">
        <f t="shared" si="11"/>
        <v>2</v>
      </c>
      <c r="BN34" s="441">
        <f t="shared" si="12"/>
        <v>0</v>
      </c>
    </row>
    <row r="35" spans="1:66" x14ac:dyDescent="0.25">
      <c r="A35" s="162"/>
      <c r="B35" s="369" t="s">
        <v>40</v>
      </c>
      <c r="C35" s="143">
        <v>374</v>
      </c>
      <c r="D35" s="144">
        <f>C35/C11</f>
        <v>0.5718654434250765</v>
      </c>
      <c r="E35" s="143">
        <v>327</v>
      </c>
      <c r="F35" s="144">
        <f>E35/E11</f>
        <v>0.53694581280788178</v>
      </c>
      <c r="G35" s="146">
        <v>393</v>
      </c>
      <c r="H35" s="147">
        <f>G35/G11</f>
        <v>0.6649746192893401</v>
      </c>
      <c r="I35" s="146">
        <v>401</v>
      </c>
      <c r="J35" s="147">
        <f>I35/I11</f>
        <v>0.65630114566284781</v>
      </c>
      <c r="K35" s="146">
        <v>550</v>
      </c>
      <c r="L35" s="147">
        <f>K35/K11</f>
        <v>0.67237163814180934</v>
      </c>
      <c r="M35" s="146">
        <v>525</v>
      </c>
      <c r="N35" s="147">
        <f>M35/M11</f>
        <v>0.67480719794344468</v>
      </c>
      <c r="O35" s="146">
        <v>528</v>
      </c>
      <c r="P35" s="147">
        <f>O35/O11</f>
        <v>0.69019607843137254</v>
      </c>
      <c r="Q35" s="146">
        <v>568</v>
      </c>
      <c r="R35" s="163">
        <f>Q35/Q11</f>
        <v>0.68681983071342201</v>
      </c>
      <c r="S35" s="146">
        <v>509</v>
      </c>
      <c r="T35" s="163">
        <f>S35/S11</f>
        <v>0.67957276368491326</v>
      </c>
      <c r="U35" s="164">
        <v>492</v>
      </c>
      <c r="V35" s="163">
        <f>U35/U11</f>
        <v>0.68144044321329644</v>
      </c>
      <c r="W35" s="165">
        <v>453</v>
      </c>
      <c r="X35" s="166">
        <f>W35/W11</f>
        <v>0.63445378151260501</v>
      </c>
      <c r="Y35" s="167">
        <v>547</v>
      </c>
      <c r="Z35" s="166">
        <f>Y35/Y11</f>
        <v>0.68632371392722713</v>
      </c>
      <c r="AA35" s="166"/>
      <c r="AB35" s="166">
        <v>0.65</v>
      </c>
      <c r="AC35" s="166">
        <v>0.67</v>
      </c>
      <c r="AD35" s="168">
        <f>+AD23+81+68</f>
        <v>625</v>
      </c>
      <c r="AE35" s="168">
        <f>389+538</f>
        <v>927</v>
      </c>
      <c r="AF35" s="166">
        <v>0.67494600431965446</v>
      </c>
      <c r="AG35" s="168">
        <v>653</v>
      </c>
      <c r="AH35" s="168">
        <v>995</v>
      </c>
      <c r="AI35" s="166">
        <v>0.65694164989939641</v>
      </c>
      <c r="AJ35" s="169">
        <v>693</v>
      </c>
      <c r="AK35" s="169">
        <v>1033</v>
      </c>
      <c r="AL35" s="166">
        <v>0.67151162790697672</v>
      </c>
      <c r="AM35" s="169">
        <v>651</v>
      </c>
      <c r="AN35" s="170">
        <v>950</v>
      </c>
      <c r="AO35" s="172">
        <v>0.68598524762908319</v>
      </c>
      <c r="AP35" s="370">
        <v>0.71</v>
      </c>
      <c r="AQ35" s="382">
        <v>602</v>
      </c>
      <c r="AR35" s="382">
        <v>882</v>
      </c>
      <c r="AS35" s="383">
        <v>0.68253968253968256</v>
      </c>
      <c r="AT35" s="384">
        <v>636</v>
      </c>
      <c r="AU35" s="374">
        <v>906</v>
      </c>
      <c r="AV35" s="385">
        <v>0.70198675496688745</v>
      </c>
      <c r="AW35" s="382">
        <v>604</v>
      </c>
      <c r="AX35" s="371">
        <v>871</v>
      </c>
      <c r="AY35" s="385">
        <v>0.69345579793340983</v>
      </c>
      <c r="AZ35" s="382">
        <v>631</v>
      </c>
      <c r="BA35" s="371">
        <v>876</v>
      </c>
      <c r="BB35" s="385">
        <f t="shared" si="5"/>
        <v>0.72031963470319638</v>
      </c>
      <c r="BC35" s="382">
        <v>669</v>
      </c>
      <c r="BD35" s="371">
        <v>967</v>
      </c>
      <c r="BE35" s="385">
        <f t="shared" si="6"/>
        <v>0.69183040330920376</v>
      </c>
      <c r="BF35" s="382">
        <v>650</v>
      </c>
      <c r="BG35" s="371">
        <f t="shared" si="7"/>
        <v>951</v>
      </c>
      <c r="BH35" s="385">
        <f t="shared" si="8"/>
        <v>0.68349106203995791</v>
      </c>
      <c r="BI35" s="382">
        <v>631</v>
      </c>
      <c r="BJ35" s="371">
        <f t="shared" si="9"/>
        <v>924</v>
      </c>
      <c r="BK35" s="385">
        <f t="shared" si="10"/>
        <v>0.6829004329004329</v>
      </c>
      <c r="BL35" s="382">
        <v>655</v>
      </c>
      <c r="BM35" s="371">
        <f t="shared" si="11"/>
        <v>1037</v>
      </c>
      <c r="BN35" s="441">
        <f t="shared" si="12"/>
        <v>0.63162970106075222</v>
      </c>
    </row>
    <row r="36" spans="1:66" x14ac:dyDescent="0.25">
      <c r="A36" s="518" t="s">
        <v>67</v>
      </c>
      <c r="B36" s="519"/>
      <c r="C36" s="143"/>
      <c r="D36" s="144"/>
      <c r="E36" s="143"/>
      <c r="F36" s="144"/>
      <c r="G36" s="146"/>
      <c r="H36" s="147"/>
      <c r="I36" s="146"/>
      <c r="J36" s="147"/>
      <c r="K36" s="146"/>
      <c r="L36" s="147"/>
      <c r="M36" s="146"/>
      <c r="N36" s="147"/>
      <c r="O36" s="146"/>
      <c r="P36" s="147"/>
      <c r="Q36" s="146">
        <v>5</v>
      </c>
      <c r="R36" s="163">
        <f>Q36/Q12</f>
        <v>0.83333333333333337</v>
      </c>
      <c r="S36" s="146">
        <v>1</v>
      </c>
      <c r="T36" s="163">
        <f>S36/S12</f>
        <v>0.16666666666666666</v>
      </c>
      <c r="U36" s="164">
        <v>3</v>
      </c>
      <c r="V36" s="163">
        <f>U36/U12</f>
        <v>0.5</v>
      </c>
      <c r="W36" s="165">
        <v>4</v>
      </c>
      <c r="X36" s="166">
        <f>W36/W12</f>
        <v>0.36363636363636365</v>
      </c>
      <c r="Y36" s="167">
        <v>2</v>
      </c>
      <c r="Z36" s="166">
        <f>Y36/Y12</f>
        <v>0.4</v>
      </c>
      <c r="AA36" s="166"/>
      <c r="AB36" s="166">
        <v>0.6</v>
      </c>
      <c r="AC36" s="166">
        <v>0.33</v>
      </c>
      <c r="AD36" s="168">
        <f>+AD24</f>
        <v>1</v>
      </c>
      <c r="AE36" s="168">
        <v>1</v>
      </c>
      <c r="AF36" s="166">
        <v>1</v>
      </c>
      <c r="AG36" s="168">
        <v>2</v>
      </c>
      <c r="AH36" s="168">
        <v>3</v>
      </c>
      <c r="AI36" s="166">
        <v>0.66666666666666663</v>
      </c>
      <c r="AJ36" s="169">
        <v>2</v>
      </c>
      <c r="AK36" s="169">
        <v>7</v>
      </c>
      <c r="AL36" s="166">
        <v>0.2857142857142857</v>
      </c>
      <c r="AM36" s="169">
        <v>3</v>
      </c>
      <c r="AN36" s="170">
        <v>5</v>
      </c>
      <c r="AO36" s="172">
        <v>0.6</v>
      </c>
      <c r="AP36" s="370">
        <v>0.56000000000000005</v>
      </c>
      <c r="AQ36" s="382">
        <v>9</v>
      </c>
      <c r="AR36" s="382">
        <v>14</v>
      </c>
      <c r="AS36" s="383">
        <v>0.6428571428571429</v>
      </c>
      <c r="AT36" s="384">
        <v>6</v>
      </c>
      <c r="AU36" s="374">
        <v>15</v>
      </c>
      <c r="AV36" s="385">
        <v>0.4</v>
      </c>
      <c r="AW36" s="382">
        <v>5</v>
      </c>
      <c r="AX36" s="371">
        <v>10</v>
      </c>
      <c r="AY36" s="385">
        <v>0.5</v>
      </c>
      <c r="AZ36" s="382">
        <v>4</v>
      </c>
      <c r="BA36" s="371">
        <v>6</v>
      </c>
      <c r="BB36" s="385">
        <f t="shared" si="5"/>
        <v>0.66666666666666663</v>
      </c>
      <c r="BC36" s="382">
        <v>4</v>
      </c>
      <c r="BD36" s="371">
        <v>7</v>
      </c>
      <c r="BE36" s="385">
        <f t="shared" si="6"/>
        <v>0.5714285714285714</v>
      </c>
      <c r="BF36" s="382">
        <v>5</v>
      </c>
      <c r="BG36" s="371">
        <f t="shared" si="7"/>
        <v>8</v>
      </c>
      <c r="BH36" s="385">
        <f t="shared" si="8"/>
        <v>0.625</v>
      </c>
      <c r="BI36" s="382">
        <v>4</v>
      </c>
      <c r="BJ36" s="371">
        <f t="shared" si="9"/>
        <v>7</v>
      </c>
      <c r="BK36" s="385">
        <f t="shared" si="10"/>
        <v>0.5714285714285714</v>
      </c>
      <c r="BL36" s="382">
        <v>4</v>
      </c>
      <c r="BM36" s="371">
        <f t="shared" si="11"/>
        <v>5</v>
      </c>
      <c r="BN36" s="441">
        <f t="shared" si="12"/>
        <v>0.8</v>
      </c>
    </row>
    <row r="37" spans="1:66" x14ac:dyDescent="0.25">
      <c r="A37" s="379"/>
      <c r="B37" s="369" t="s">
        <v>24</v>
      </c>
      <c r="C37" s="143"/>
      <c r="D37" s="144"/>
      <c r="E37" s="143"/>
      <c r="F37" s="144"/>
      <c r="G37" s="146"/>
      <c r="H37" s="147"/>
      <c r="I37" s="146"/>
      <c r="J37" s="147"/>
      <c r="K37" s="146"/>
      <c r="L37" s="147"/>
      <c r="M37" s="146"/>
      <c r="N37" s="147"/>
      <c r="O37" s="146"/>
      <c r="P37" s="147"/>
      <c r="Q37" s="146"/>
      <c r="R37" s="156"/>
      <c r="S37" s="157"/>
      <c r="T37" s="156"/>
      <c r="U37" s="158"/>
      <c r="V37" s="156"/>
      <c r="W37" s="159"/>
      <c r="X37" s="160"/>
      <c r="Y37" s="161"/>
      <c r="Z37" s="160"/>
      <c r="AA37" s="160"/>
      <c r="AB37" s="160"/>
      <c r="AC37" s="160"/>
      <c r="AD37" s="173"/>
      <c r="AE37" s="173"/>
      <c r="AF37" s="160"/>
      <c r="AG37" s="173"/>
      <c r="AH37" s="173"/>
      <c r="AI37" s="160"/>
      <c r="AJ37" s="160"/>
      <c r="AK37" s="160"/>
      <c r="AL37" s="160"/>
      <c r="AM37" s="169">
        <v>24</v>
      </c>
      <c r="AN37" s="170">
        <v>43</v>
      </c>
      <c r="AO37" s="172">
        <v>0.5714285714285714</v>
      </c>
      <c r="AP37" s="370">
        <v>0.74</v>
      </c>
      <c r="AQ37" s="382">
        <v>32</v>
      </c>
      <c r="AR37" s="382">
        <v>54</v>
      </c>
      <c r="AS37" s="383">
        <v>0.59259259259259256</v>
      </c>
      <c r="AT37" s="384">
        <v>34</v>
      </c>
      <c r="AU37" s="374">
        <v>55</v>
      </c>
      <c r="AV37" s="385">
        <v>0.61818181818181817</v>
      </c>
      <c r="AW37" s="382">
        <v>9</v>
      </c>
      <c r="AX37" s="371">
        <v>18</v>
      </c>
      <c r="AY37" s="385">
        <v>0.5</v>
      </c>
      <c r="AZ37" s="382">
        <v>5</v>
      </c>
      <c r="BA37" s="371">
        <v>10</v>
      </c>
      <c r="BB37" s="385">
        <f t="shared" si="5"/>
        <v>0.5</v>
      </c>
      <c r="BC37" s="382">
        <v>16</v>
      </c>
      <c r="BD37" s="371">
        <v>28</v>
      </c>
      <c r="BE37" s="385">
        <f t="shared" si="6"/>
        <v>0.5714285714285714</v>
      </c>
      <c r="BF37" s="382">
        <v>5</v>
      </c>
      <c r="BG37" s="371">
        <f t="shared" si="7"/>
        <v>14</v>
      </c>
      <c r="BH37" s="385">
        <f t="shared" si="8"/>
        <v>0.35714285714285715</v>
      </c>
      <c r="BI37" s="382">
        <v>10</v>
      </c>
      <c r="BJ37" s="371">
        <f t="shared" si="9"/>
        <v>20</v>
      </c>
      <c r="BK37" s="385">
        <f t="shared" si="10"/>
        <v>0.5</v>
      </c>
      <c r="BL37" s="382">
        <v>8</v>
      </c>
      <c r="BM37" s="371">
        <f t="shared" si="11"/>
        <v>15</v>
      </c>
      <c r="BN37" s="441">
        <f t="shared" si="12"/>
        <v>0.53333333333333333</v>
      </c>
    </row>
    <row r="38" spans="1:66" x14ac:dyDescent="0.25">
      <c r="A38" s="162"/>
      <c r="B38" s="369" t="s">
        <v>41</v>
      </c>
      <c r="C38" s="143">
        <v>9</v>
      </c>
      <c r="D38" s="144">
        <f>C38/C14</f>
        <v>0.52941176470588236</v>
      </c>
      <c r="E38" s="143">
        <v>5</v>
      </c>
      <c r="F38" s="144">
        <f>E38/E14</f>
        <v>0.27777777777777779</v>
      </c>
      <c r="G38" s="146"/>
      <c r="H38" s="147" t="e">
        <f>G38/G14</f>
        <v>#DIV/0!</v>
      </c>
      <c r="I38" s="146"/>
      <c r="J38" s="147" t="e">
        <f>I38/I14</f>
        <v>#DIV/0!</v>
      </c>
      <c r="K38" s="146"/>
      <c r="L38" s="147" t="e">
        <f>K38/K14</f>
        <v>#DIV/0!</v>
      </c>
      <c r="M38" s="146"/>
      <c r="N38" s="147" t="e">
        <f>M38/M14</f>
        <v>#DIV/0!</v>
      </c>
      <c r="O38" s="146"/>
      <c r="P38" s="147" t="e">
        <f>O38/O14</f>
        <v>#DIV/0!</v>
      </c>
      <c r="Q38" s="146">
        <v>30</v>
      </c>
      <c r="R38" s="163">
        <f>Q38/Q14</f>
        <v>0.65217391304347827</v>
      </c>
      <c r="S38" s="146">
        <v>25</v>
      </c>
      <c r="T38" s="163">
        <f>S38/S14</f>
        <v>0.54347826086956519</v>
      </c>
      <c r="U38" s="164">
        <v>22</v>
      </c>
      <c r="V38" s="163">
        <f>U38/U14</f>
        <v>0.59459459459459463</v>
      </c>
      <c r="W38" s="165">
        <v>40</v>
      </c>
      <c r="X38" s="166">
        <f>W38/W14</f>
        <v>0.65573770491803274</v>
      </c>
      <c r="Y38" s="167">
        <v>36</v>
      </c>
      <c r="Z38" s="166">
        <f>Y38/Y14</f>
        <v>0.66666666666666663</v>
      </c>
      <c r="AA38" s="166"/>
      <c r="AB38" s="166">
        <v>0.59</v>
      </c>
      <c r="AC38" s="166">
        <v>0.67</v>
      </c>
      <c r="AD38" s="168">
        <f>+AD26+1</f>
        <v>2</v>
      </c>
      <c r="AE38" s="168">
        <f>3+2</f>
        <v>5</v>
      </c>
      <c r="AF38" s="166">
        <v>0.4</v>
      </c>
      <c r="AG38" s="168">
        <v>3</v>
      </c>
      <c r="AH38" s="168">
        <v>5</v>
      </c>
      <c r="AI38" s="166">
        <v>0.6</v>
      </c>
      <c r="AJ38" s="169">
        <v>4</v>
      </c>
      <c r="AK38" s="169">
        <v>4</v>
      </c>
      <c r="AL38" s="166">
        <v>1</v>
      </c>
      <c r="AM38" s="169">
        <v>4</v>
      </c>
      <c r="AN38" s="170">
        <v>6</v>
      </c>
      <c r="AO38" s="172">
        <v>0.66666666666666663</v>
      </c>
      <c r="AP38" s="370">
        <v>0.48</v>
      </c>
      <c r="AQ38" s="382">
        <v>36</v>
      </c>
      <c r="AR38" s="382">
        <v>59</v>
      </c>
      <c r="AS38" s="383">
        <v>0.61016949152542377</v>
      </c>
      <c r="AT38" s="384">
        <v>45</v>
      </c>
      <c r="AU38" s="374">
        <v>70</v>
      </c>
      <c r="AV38" s="385">
        <v>0.6428571428571429</v>
      </c>
      <c r="AW38" s="382">
        <v>16</v>
      </c>
      <c r="AX38" s="371">
        <v>25</v>
      </c>
      <c r="AY38" s="385">
        <v>0.64</v>
      </c>
      <c r="AZ38" s="382">
        <v>25</v>
      </c>
      <c r="BA38" s="371">
        <v>40</v>
      </c>
      <c r="BB38" s="385">
        <f t="shared" si="5"/>
        <v>0.625</v>
      </c>
      <c r="BC38" s="382">
        <v>27</v>
      </c>
      <c r="BD38" s="371">
        <v>37</v>
      </c>
      <c r="BE38" s="385">
        <f t="shared" si="6"/>
        <v>0.72972972972972971</v>
      </c>
      <c r="BF38" s="382">
        <v>30</v>
      </c>
      <c r="BG38" s="371">
        <f t="shared" si="7"/>
        <v>40</v>
      </c>
      <c r="BH38" s="385">
        <f t="shared" si="8"/>
        <v>0.75</v>
      </c>
      <c r="BI38" s="382">
        <v>25</v>
      </c>
      <c r="BJ38" s="371">
        <f t="shared" si="9"/>
        <v>34</v>
      </c>
      <c r="BK38" s="385">
        <f t="shared" si="10"/>
        <v>0.73529411764705888</v>
      </c>
      <c r="BL38" s="382">
        <v>20</v>
      </c>
      <c r="BM38" s="371">
        <f t="shared" si="11"/>
        <v>37</v>
      </c>
      <c r="BN38" s="441">
        <f t="shared" si="12"/>
        <v>0.54054054054054057</v>
      </c>
    </row>
    <row r="39" spans="1:66" x14ac:dyDescent="0.25">
      <c r="A39" s="176"/>
      <c r="B39" s="177" t="s">
        <v>12</v>
      </c>
      <c r="C39" s="178">
        <v>405</v>
      </c>
      <c r="D39" s="179">
        <f>C39/C15</f>
        <v>0.55785123966942152</v>
      </c>
      <c r="E39" s="178">
        <v>353</v>
      </c>
      <c r="F39" s="179">
        <f>E39/E15</f>
        <v>0.51911764705882357</v>
      </c>
      <c r="G39" s="180">
        <v>420</v>
      </c>
      <c r="H39" s="181">
        <f>G39/G15</f>
        <v>0.65420560747663548</v>
      </c>
      <c r="I39" s="180">
        <v>436</v>
      </c>
      <c r="J39" s="181">
        <f>I39/I15</f>
        <v>0.63280116110304785</v>
      </c>
      <c r="K39" s="180">
        <v>577</v>
      </c>
      <c r="L39" s="181">
        <f>K39/K15</f>
        <v>0.65124153498871329</v>
      </c>
      <c r="M39" s="180">
        <v>605</v>
      </c>
      <c r="N39" s="181">
        <f>M39/M15</f>
        <v>0.6470588235294118</v>
      </c>
      <c r="O39" s="180">
        <v>592</v>
      </c>
      <c r="P39" s="181">
        <f>O39/O15</f>
        <v>0.67502850627137967</v>
      </c>
      <c r="Q39" s="180">
        <v>630</v>
      </c>
      <c r="R39" s="182">
        <f>Q39/Q15</f>
        <v>0.67092651757188504</v>
      </c>
      <c r="S39" s="180">
        <v>611</v>
      </c>
      <c r="T39" s="182">
        <f>S39/S15</f>
        <v>0.64656084656084656</v>
      </c>
      <c r="U39" s="183">
        <v>588</v>
      </c>
      <c r="V39" s="182">
        <f>U39/U15</f>
        <v>0.64757709251101325</v>
      </c>
      <c r="W39" s="184">
        <v>594</v>
      </c>
      <c r="X39" s="185">
        <f>W39/W15</f>
        <v>0.62724392819429775</v>
      </c>
      <c r="Y39" s="186">
        <v>648</v>
      </c>
      <c r="Z39" s="185">
        <f>Y39/Y15</f>
        <v>0.66055045871559637</v>
      </c>
      <c r="AA39" s="185"/>
      <c r="AB39" s="185">
        <v>0.63</v>
      </c>
      <c r="AC39" s="185">
        <v>0.64</v>
      </c>
      <c r="AD39" s="187">
        <f>SUM(AD30:AD38)</f>
        <v>728</v>
      </c>
      <c r="AE39" s="187">
        <f>SUM(AE30:AE38)</f>
        <v>1143</v>
      </c>
      <c r="AF39" s="188">
        <v>0.63747810858143605</v>
      </c>
      <c r="AG39" s="187">
        <v>762</v>
      </c>
      <c r="AH39" s="187">
        <v>1199</v>
      </c>
      <c r="AI39" s="185">
        <v>0.63552960800667224</v>
      </c>
      <c r="AJ39" s="189">
        <v>827</v>
      </c>
      <c r="AK39" s="189">
        <v>1275</v>
      </c>
      <c r="AL39" s="185">
        <v>0.64964650432050275</v>
      </c>
      <c r="AM39" s="189">
        <v>826</v>
      </c>
      <c r="AN39" s="190">
        <v>1250</v>
      </c>
      <c r="AO39" s="192">
        <v>0.66185897435897434</v>
      </c>
      <c r="AP39" s="207">
        <v>0.68</v>
      </c>
      <c r="AQ39" s="213">
        <v>803</v>
      </c>
      <c r="AR39" s="213">
        <v>1228</v>
      </c>
      <c r="AS39" s="233">
        <v>0.65390879478827357</v>
      </c>
      <c r="AT39" s="234">
        <v>839</v>
      </c>
      <c r="AU39" s="230">
        <v>1239</v>
      </c>
      <c r="AV39" s="235">
        <v>0.67715899919289746</v>
      </c>
      <c r="AW39" s="213">
        <f>SUM(AW30:AW38)</f>
        <v>753</v>
      </c>
      <c r="AX39" s="208">
        <f>SUM(AX30:AX38)</f>
        <v>1140</v>
      </c>
      <c r="AY39" s="235">
        <v>0.66052631578947374</v>
      </c>
      <c r="AZ39" s="213">
        <f>SUM(AZ30:AZ38)</f>
        <v>819</v>
      </c>
      <c r="BA39" s="208">
        <f>SUM(BA30:BA38)</f>
        <v>1185</v>
      </c>
      <c r="BB39" s="235">
        <f t="shared" si="5"/>
        <v>0.69113924050632913</v>
      </c>
      <c r="BC39" s="213">
        <f>SUM(BC30:BC38)</f>
        <v>879</v>
      </c>
      <c r="BD39" s="208">
        <f>SUM(BD30:BD38)</f>
        <v>1327</v>
      </c>
      <c r="BE39" s="235">
        <f t="shared" si="6"/>
        <v>0.66239638281838731</v>
      </c>
      <c r="BF39" s="213">
        <f>SUM(BF30:BF38)</f>
        <v>865</v>
      </c>
      <c r="BG39" s="208">
        <f>SUM(BG30:BG38)</f>
        <v>1324</v>
      </c>
      <c r="BH39" s="235">
        <f t="shared" si="8"/>
        <v>0.65332326283987918</v>
      </c>
      <c r="BI39" s="213">
        <f>SUM(BI30:BI38)</f>
        <v>839</v>
      </c>
      <c r="BJ39" s="208">
        <f>SUM(BJ30:BJ38)</f>
        <v>1284</v>
      </c>
      <c r="BK39" s="235">
        <f t="shared" si="10"/>
        <v>0.65342679127725856</v>
      </c>
      <c r="BL39" s="213">
        <f>SUM(BL30:BL38)</f>
        <v>865</v>
      </c>
      <c r="BM39" s="208">
        <f>SUM(BM30:BM38)</f>
        <v>1466</v>
      </c>
      <c r="BN39" s="442">
        <f t="shared" si="12"/>
        <v>0.59004092769440653</v>
      </c>
    </row>
    <row r="40" spans="1:66" ht="9" customHeight="1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306"/>
      <c r="BH40" s="306"/>
      <c r="BI40" s="306"/>
      <c r="BJ40" s="306"/>
      <c r="BK40" s="306"/>
      <c r="BL40" s="306"/>
      <c r="BM40" s="306"/>
      <c r="BN40" s="306"/>
    </row>
    <row r="41" spans="1:66" x14ac:dyDescent="0.25">
      <c r="A41" s="137" t="s">
        <v>7</v>
      </c>
      <c r="B41" s="138"/>
      <c r="C41" s="114"/>
      <c r="D41" s="115"/>
      <c r="E41" s="114"/>
      <c r="F41" s="115"/>
      <c r="G41" s="116"/>
      <c r="H41" s="117"/>
      <c r="I41" s="116"/>
      <c r="J41" s="117"/>
      <c r="K41" s="116"/>
      <c r="L41" s="117"/>
      <c r="M41" s="116"/>
      <c r="N41" s="117"/>
      <c r="O41" s="116"/>
      <c r="P41" s="117"/>
      <c r="Q41" s="116"/>
      <c r="R41" s="195"/>
      <c r="S41" s="116"/>
      <c r="T41" s="195"/>
      <c r="U41" s="196"/>
      <c r="V41" s="195"/>
      <c r="W41" s="197"/>
      <c r="X41" s="198"/>
      <c r="Y41" s="199"/>
      <c r="Z41" s="198"/>
      <c r="AA41" s="198"/>
      <c r="AB41" s="198"/>
      <c r="AC41" s="198"/>
      <c r="AD41" s="200"/>
      <c r="AE41" s="200"/>
      <c r="AF41" s="198"/>
      <c r="AG41" s="200"/>
      <c r="AH41" s="200"/>
      <c r="AI41" s="198"/>
      <c r="AJ41" s="119"/>
      <c r="AK41" s="119"/>
      <c r="AL41" s="198"/>
      <c r="AM41" s="119"/>
      <c r="AN41" s="139"/>
      <c r="AO41" s="201"/>
      <c r="AP41" s="211"/>
      <c r="AQ41" s="212"/>
      <c r="AR41" s="212"/>
      <c r="AS41" s="231"/>
      <c r="AT41" s="232"/>
      <c r="AU41" s="232"/>
      <c r="AV41" s="231"/>
      <c r="AW41" s="212"/>
      <c r="AX41" s="212"/>
      <c r="AY41" s="231"/>
      <c r="AZ41" s="212"/>
      <c r="BA41" s="212"/>
      <c r="BB41" s="231"/>
      <c r="BC41" s="212"/>
      <c r="BD41" s="212"/>
      <c r="BE41" s="231"/>
      <c r="BF41" s="212"/>
      <c r="BG41" s="212"/>
      <c r="BH41" s="231"/>
      <c r="BI41" s="212"/>
      <c r="BJ41" s="212"/>
      <c r="BK41" s="231"/>
      <c r="BL41" s="212"/>
      <c r="BM41" s="212"/>
      <c r="BN41" s="440"/>
    </row>
    <row r="42" spans="1:66" x14ac:dyDescent="0.25">
      <c r="A42" s="162"/>
      <c r="B42" s="369" t="s">
        <v>10</v>
      </c>
      <c r="C42" s="143">
        <v>25</v>
      </c>
      <c r="D42" s="144">
        <f>C42/C7</f>
        <v>0.45454545454545453</v>
      </c>
      <c r="E42" s="145">
        <v>30</v>
      </c>
      <c r="F42" s="144">
        <f>E42/E7</f>
        <v>0.56603773584905659</v>
      </c>
      <c r="G42" s="146">
        <v>20</v>
      </c>
      <c r="H42" s="147">
        <f>G42/G7</f>
        <v>0.60606060606060608</v>
      </c>
      <c r="I42" s="146">
        <v>30</v>
      </c>
      <c r="J42" s="147">
        <f>I42/I7</f>
        <v>0.5</v>
      </c>
      <c r="K42" s="146">
        <v>19</v>
      </c>
      <c r="L42" s="147">
        <f>K42/K7</f>
        <v>0.42222222222222222</v>
      </c>
      <c r="M42" s="146">
        <v>18</v>
      </c>
      <c r="N42" s="147">
        <f>M42/M7</f>
        <v>0.43902439024390244</v>
      </c>
      <c r="O42" s="146">
        <v>21</v>
      </c>
      <c r="P42" s="147">
        <f>O42/O7</f>
        <v>0.6</v>
      </c>
      <c r="Q42" s="146">
        <v>18</v>
      </c>
      <c r="R42" s="163">
        <f>Q42/Q7</f>
        <v>0.5625</v>
      </c>
      <c r="S42" s="146">
        <v>48</v>
      </c>
      <c r="T42" s="163">
        <f>S42/S7</f>
        <v>0.55813953488372092</v>
      </c>
      <c r="U42" s="164">
        <v>48</v>
      </c>
      <c r="V42" s="163">
        <f>U42/U7</f>
        <v>0.5714285714285714</v>
      </c>
      <c r="W42" s="165">
        <v>49</v>
      </c>
      <c r="X42" s="166">
        <f>W42/W7</f>
        <v>0.620253164556962</v>
      </c>
      <c r="Y42" s="167">
        <v>40</v>
      </c>
      <c r="Z42" s="166">
        <f>Y42/Y7</f>
        <v>0.53333333333333333</v>
      </c>
      <c r="AA42" s="166"/>
      <c r="AB42" s="166">
        <v>0.6</v>
      </c>
      <c r="AC42" s="166">
        <v>0.66</v>
      </c>
      <c r="AD42" s="168">
        <f>+AD30+5+1</f>
        <v>69</v>
      </c>
      <c r="AE42" s="168">
        <f>69+60</f>
        <v>129</v>
      </c>
      <c r="AF42" s="166">
        <v>0.53488372093023251</v>
      </c>
      <c r="AG42" s="168">
        <v>61</v>
      </c>
      <c r="AH42" s="168">
        <v>115</v>
      </c>
      <c r="AI42" s="166">
        <v>0.5304347826086957</v>
      </c>
      <c r="AJ42" s="169">
        <v>80</v>
      </c>
      <c r="AK42" s="169">
        <v>132</v>
      </c>
      <c r="AL42" s="166">
        <v>0.61068702290076338</v>
      </c>
      <c r="AM42" s="169">
        <v>84</v>
      </c>
      <c r="AN42" s="170">
        <v>129</v>
      </c>
      <c r="AO42" s="172">
        <v>0.65116279069767447</v>
      </c>
      <c r="AP42" s="370">
        <v>0.65</v>
      </c>
      <c r="AQ42" s="382">
        <v>67</v>
      </c>
      <c r="AR42" s="382">
        <v>107</v>
      </c>
      <c r="AS42" s="383">
        <v>0.62616822429906538</v>
      </c>
      <c r="AT42" s="384">
        <v>63</v>
      </c>
      <c r="AU42" s="374">
        <v>96</v>
      </c>
      <c r="AV42" s="385">
        <v>0.65625</v>
      </c>
      <c r="AW42" s="382">
        <v>72</v>
      </c>
      <c r="AX42" s="371">
        <v>117</v>
      </c>
      <c r="AY42" s="385">
        <v>0.61538461538461542</v>
      </c>
      <c r="AZ42" s="382">
        <v>82</v>
      </c>
      <c r="BA42" s="371">
        <v>130</v>
      </c>
      <c r="BB42" s="385">
        <f>AZ42/BA42</f>
        <v>0.63076923076923075</v>
      </c>
      <c r="BC42" s="382">
        <v>93</v>
      </c>
      <c r="BD42" s="371">
        <v>149</v>
      </c>
      <c r="BE42" s="385">
        <f>BC42/BD42</f>
        <v>0.62416107382550334</v>
      </c>
      <c r="BF42" s="382">
        <v>103</v>
      </c>
      <c r="BG42" s="371">
        <f>BG18</f>
        <v>172</v>
      </c>
      <c r="BH42" s="385">
        <f>BF42/BG42</f>
        <v>0.59883720930232553</v>
      </c>
      <c r="BI42" s="382">
        <v>96</v>
      </c>
      <c r="BJ42" s="371">
        <f>BJ18</f>
        <v>156</v>
      </c>
      <c r="BK42" s="385">
        <f>BI42/BJ42</f>
        <v>0.61538461538461542</v>
      </c>
      <c r="BL42" s="382">
        <v>96</v>
      </c>
      <c r="BM42" s="371">
        <f>BM18</f>
        <v>182</v>
      </c>
      <c r="BN42" s="441">
        <f>BL42/BM42</f>
        <v>0.52747252747252749</v>
      </c>
    </row>
    <row r="43" spans="1:66" x14ac:dyDescent="0.25">
      <c r="A43" s="518" t="s">
        <v>30</v>
      </c>
      <c r="B43" s="519"/>
      <c r="C43" s="143"/>
      <c r="D43" s="144"/>
      <c r="E43" s="145"/>
      <c r="F43" s="144"/>
      <c r="G43" s="146"/>
      <c r="H43" s="147"/>
      <c r="I43" s="146"/>
      <c r="J43" s="147"/>
      <c r="K43" s="146"/>
      <c r="L43" s="147"/>
      <c r="M43" s="146"/>
      <c r="N43" s="147"/>
      <c r="O43" s="146"/>
      <c r="P43" s="147"/>
      <c r="Q43" s="146">
        <v>1</v>
      </c>
      <c r="R43" s="163">
        <f>Q43/Q8</f>
        <v>0.25</v>
      </c>
      <c r="S43" s="146">
        <v>1</v>
      </c>
      <c r="T43" s="163">
        <f>S43/S8</f>
        <v>0.5</v>
      </c>
      <c r="U43" s="164">
        <v>3</v>
      </c>
      <c r="V43" s="163">
        <f>U43/U8</f>
        <v>0.75</v>
      </c>
      <c r="W43" s="165">
        <v>5</v>
      </c>
      <c r="X43" s="166">
        <f>W43/W8</f>
        <v>1</v>
      </c>
      <c r="Y43" s="167">
        <v>2</v>
      </c>
      <c r="Z43" s="166">
        <f>Y43/Y8</f>
        <v>1</v>
      </c>
      <c r="AA43" s="166"/>
      <c r="AB43" s="166">
        <v>0.67</v>
      </c>
      <c r="AC43" s="166">
        <v>0.8</v>
      </c>
      <c r="AD43" s="168">
        <f>+AD31+1</f>
        <v>7</v>
      </c>
      <c r="AE43" s="168">
        <f>4+6</f>
        <v>10</v>
      </c>
      <c r="AF43" s="166">
        <v>0.7</v>
      </c>
      <c r="AG43" s="168">
        <v>4</v>
      </c>
      <c r="AH43" s="168">
        <v>6</v>
      </c>
      <c r="AI43" s="166">
        <v>0.66666666666666663</v>
      </c>
      <c r="AJ43" s="169">
        <v>6</v>
      </c>
      <c r="AK43" s="169">
        <v>8</v>
      </c>
      <c r="AL43" s="166">
        <v>0.75</v>
      </c>
      <c r="AM43" s="169">
        <v>0</v>
      </c>
      <c r="AN43" s="170">
        <v>3</v>
      </c>
      <c r="AO43" s="172">
        <v>0</v>
      </c>
      <c r="AP43" s="370">
        <v>1</v>
      </c>
      <c r="AQ43" s="382">
        <v>2</v>
      </c>
      <c r="AR43" s="382">
        <v>4</v>
      </c>
      <c r="AS43" s="383">
        <v>0.5</v>
      </c>
      <c r="AT43" s="384">
        <v>0</v>
      </c>
      <c r="AU43" s="375">
        <v>0</v>
      </c>
      <c r="AV43" s="378" t="s">
        <v>47</v>
      </c>
      <c r="AW43" s="382">
        <v>9</v>
      </c>
      <c r="AX43" s="371">
        <v>12</v>
      </c>
      <c r="AY43" s="385">
        <v>0.75</v>
      </c>
      <c r="AZ43" s="382">
        <v>7</v>
      </c>
      <c r="BA43" s="371">
        <v>12</v>
      </c>
      <c r="BB43" s="385">
        <f t="shared" ref="BB43:BB51" si="13">AZ43/BA43</f>
        <v>0.58333333333333337</v>
      </c>
      <c r="BC43" s="382">
        <v>4</v>
      </c>
      <c r="BD43" s="371">
        <v>14</v>
      </c>
      <c r="BE43" s="385">
        <f t="shared" ref="BE43:BE51" si="14">BC43/BD43</f>
        <v>0.2857142857142857</v>
      </c>
      <c r="BF43" s="382">
        <v>7</v>
      </c>
      <c r="BG43" s="371">
        <f t="shared" ref="BG43:BG50" si="15">BG19</f>
        <v>13</v>
      </c>
      <c r="BH43" s="385">
        <f t="shared" ref="BH43:BH51" si="16">BF43/BG43</f>
        <v>0.53846153846153844</v>
      </c>
      <c r="BI43" s="382">
        <v>6</v>
      </c>
      <c r="BJ43" s="371">
        <f t="shared" ref="BJ43:BJ50" si="17">BJ19</f>
        <v>11</v>
      </c>
      <c r="BK43" s="385">
        <f t="shared" ref="BK43:BK51" si="18">BI43/BJ43</f>
        <v>0.54545454545454541</v>
      </c>
      <c r="BL43" s="382">
        <v>6</v>
      </c>
      <c r="BM43" s="371">
        <f t="shared" ref="BM43:BM50" si="19">BM19</f>
        <v>20</v>
      </c>
      <c r="BN43" s="441">
        <f t="shared" ref="BN43:BN51" si="20">BL43/BM43</f>
        <v>0.3</v>
      </c>
    </row>
    <row r="44" spans="1:66" x14ac:dyDescent="0.25">
      <c r="A44" s="379"/>
      <c r="B44" s="369" t="s">
        <v>25</v>
      </c>
      <c r="C44" s="143"/>
      <c r="D44" s="144"/>
      <c r="E44" s="145"/>
      <c r="F44" s="144"/>
      <c r="G44" s="146"/>
      <c r="H44" s="147"/>
      <c r="I44" s="146"/>
      <c r="J44" s="147"/>
      <c r="K44" s="146"/>
      <c r="L44" s="147"/>
      <c r="M44" s="146"/>
      <c r="N44" s="147"/>
      <c r="O44" s="146"/>
      <c r="P44" s="147"/>
      <c r="Q44" s="146"/>
      <c r="R44" s="156"/>
      <c r="S44" s="157"/>
      <c r="T44" s="156"/>
      <c r="U44" s="158"/>
      <c r="V44" s="156"/>
      <c r="W44" s="159"/>
      <c r="X44" s="160"/>
      <c r="Y44" s="161"/>
      <c r="Z44" s="160"/>
      <c r="AA44" s="160"/>
      <c r="AB44" s="166">
        <v>0.68</v>
      </c>
      <c r="AC44" s="166">
        <v>0.5</v>
      </c>
      <c r="AD44" s="168">
        <f>+AD32+1</f>
        <v>20</v>
      </c>
      <c r="AE44" s="168">
        <f>21+21</f>
        <v>42</v>
      </c>
      <c r="AF44" s="166">
        <v>0.47619047619047616</v>
      </c>
      <c r="AG44" s="168">
        <v>24</v>
      </c>
      <c r="AH44" s="168">
        <v>35</v>
      </c>
      <c r="AI44" s="166">
        <v>0.68571428571428572</v>
      </c>
      <c r="AJ44" s="169">
        <v>18</v>
      </c>
      <c r="AK44" s="169">
        <v>36</v>
      </c>
      <c r="AL44" s="166">
        <v>0.5</v>
      </c>
      <c r="AM44" s="169">
        <v>19</v>
      </c>
      <c r="AN44" s="170">
        <v>40</v>
      </c>
      <c r="AO44" s="172">
        <v>0.47499999999999998</v>
      </c>
      <c r="AP44" s="370">
        <v>0.56000000000000005</v>
      </c>
      <c r="AQ44" s="382">
        <v>26</v>
      </c>
      <c r="AR44" s="382">
        <v>42</v>
      </c>
      <c r="AS44" s="383">
        <v>0.61904761904761907</v>
      </c>
      <c r="AT44" s="384">
        <v>28</v>
      </c>
      <c r="AU44" s="374">
        <v>33</v>
      </c>
      <c r="AV44" s="385">
        <v>0.84848484848484851</v>
      </c>
      <c r="AW44" s="382">
        <v>20</v>
      </c>
      <c r="AX44" s="371">
        <v>37</v>
      </c>
      <c r="AY44" s="385">
        <v>0.54054054054054057</v>
      </c>
      <c r="AZ44" s="382">
        <v>34</v>
      </c>
      <c r="BA44" s="371">
        <v>49</v>
      </c>
      <c r="BB44" s="385">
        <f t="shared" si="13"/>
        <v>0.69387755102040816</v>
      </c>
      <c r="BC44" s="382">
        <v>32</v>
      </c>
      <c r="BD44" s="371">
        <v>61</v>
      </c>
      <c r="BE44" s="385">
        <f t="shared" si="14"/>
        <v>0.52459016393442626</v>
      </c>
      <c r="BF44" s="382">
        <v>40</v>
      </c>
      <c r="BG44" s="371">
        <f t="shared" si="15"/>
        <v>56</v>
      </c>
      <c r="BH44" s="385">
        <f t="shared" si="16"/>
        <v>0.7142857142857143</v>
      </c>
      <c r="BI44" s="382">
        <v>34</v>
      </c>
      <c r="BJ44" s="371">
        <f t="shared" si="17"/>
        <v>53</v>
      </c>
      <c r="BK44" s="385">
        <f t="shared" si="18"/>
        <v>0.64150943396226412</v>
      </c>
      <c r="BL44" s="382">
        <v>41</v>
      </c>
      <c r="BM44" s="371">
        <f t="shared" si="19"/>
        <v>80</v>
      </c>
      <c r="BN44" s="441">
        <f t="shared" si="20"/>
        <v>0.51249999999999996</v>
      </c>
    </row>
    <row r="45" spans="1:66" x14ac:dyDescent="0.25">
      <c r="A45" s="518" t="s">
        <v>16</v>
      </c>
      <c r="B45" s="519"/>
      <c r="C45" s="143"/>
      <c r="D45" s="144"/>
      <c r="E45" s="145"/>
      <c r="F45" s="144"/>
      <c r="G45" s="146"/>
      <c r="H45" s="147"/>
      <c r="I45" s="146"/>
      <c r="J45" s="147"/>
      <c r="K45" s="146"/>
      <c r="L45" s="147"/>
      <c r="M45" s="146"/>
      <c r="N45" s="147"/>
      <c r="O45" s="146"/>
      <c r="P45" s="147"/>
      <c r="Q45" s="146">
        <v>5</v>
      </c>
      <c r="R45" s="163">
        <f>Q45/Q10</f>
        <v>0.41666666666666669</v>
      </c>
      <c r="S45" s="146">
        <v>17</v>
      </c>
      <c r="T45" s="163">
        <f>S45/S10</f>
        <v>0.62962962962962965</v>
      </c>
      <c r="U45" s="164">
        <v>17</v>
      </c>
      <c r="V45" s="163">
        <f>U45/U10</f>
        <v>0.73913043478260865</v>
      </c>
      <c r="W45" s="165">
        <v>21</v>
      </c>
      <c r="X45" s="166">
        <f>W45/W10</f>
        <v>0.63636363636363635</v>
      </c>
      <c r="Y45" s="167">
        <v>16</v>
      </c>
      <c r="Z45" s="166">
        <f>Y45/Y10</f>
        <v>0.69565217391304346</v>
      </c>
      <c r="AA45" s="166"/>
      <c r="AB45" s="166">
        <v>0.6</v>
      </c>
      <c r="AC45" s="166">
        <v>0.43</v>
      </c>
      <c r="AD45" s="168">
        <f>+AD33+1</f>
        <v>13</v>
      </c>
      <c r="AE45" s="168">
        <f>11+18</f>
        <v>29</v>
      </c>
      <c r="AF45" s="166">
        <v>0.44827586206896552</v>
      </c>
      <c r="AG45" s="168">
        <v>23</v>
      </c>
      <c r="AH45" s="168">
        <v>40</v>
      </c>
      <c r="AI45" s="166">
        <v>0.57499999999999996</v>
      </c>
      <c r="AJ45" s="169">
        <v>33</v>
      </c>
      <c r="AK45" s="169">
        <v>55</v>
      </c>
      <c r="AL45" s="166">
        <v>0.6</v>
      </c>
      <c r="AM45" s="169">
        <v>53</v>
      </c>
      <c r="AN45" s="170">
        <v>72</v>
      </c>
      <c r="AO45" s="172">
        <v>0.73611111111111116</v>
      </c>
      <c r="AP45" s="370">
        <v>0.62</v>
      </c>
      <c r="AQ45" s="382">
        <v>40</v>
      </c>
      <c r="AR45" s="382">
        <v>65</v>
      </c>
      <c r="AS45" s="383">
        <v>0.61538461538461542</v>
      </c>
      <c r="AT45" s="384">
        <v>34</v>
      </c>
      <c r="AU45" s="374">
        <v>62</v>
      </c>
      <c r="AV45" s="385">
        <v>0.54838709677419351</v>
      </c>
      <c r="AW45" s="382">
        <v>27</v>
      </c>
      <c r="AX45" s="371">
        <v>49</v>
      </c>
      <c r="AY45" s="385">
        <v>0.55102040816326525</v>
      </c>
      <c r="AZ45" s="382">
        <v>39</v>
      </c>
      <c r="BA45" s="371">
        <v>58</v>
      </c>
      <c r="BB45" s="385">
        <f t="shared" si="13"/>
        <v>0.67241379310344829</v>
      </c>
      <c r="BC45" s="382">
        <v>42</v>
      </c>
      <c r="BD45" s="371">
        <v>61</v>
      </c>
      <c r="BE45" s="385">
        <f t="shared" si="14"/>
        <v>0.68852459016393441</v>
      </c>
      <c r="BF45" s="382">
        <v>38</v>
      </c>
      <c r="BG45" s="371">
        <f t="shared" si="15"/>
        <v>68</v>
      </c>
      <c r="BH45" s="385">
        <f t="shared" si="16"/>
        <v>0.55882352941176472</v>
      </c>
      <c r="BI45" s="382">
        <v>44</v>
      </c>
      <c r="BJ45" s="371">
        <f t="shared" si="17"/>
        <v>78</v>
      </c>
      <c r="BK45" s="385">
        <f t="shared" si="18"/>
        <v>0.5641025641025641</v>
      </c>
      <c r="BL45" s="382">
        <v>48</v>
      </c>
      <c r="BM45" s="371">
        <f t="shared" si="19"/>
        <v>88</v>
      </c>
      <c r="BN45" s="441">
        <f t="shared" si="20"/>
        <v>0.54545454545454541</v>
      </c>
    </row>
    <row r="46" spans="1:66" x14ac:dyDescent="0.25">
      <c r="A46" s="379"/>
      <c r="B46" s="369" t="s">
        <v>39</v>
      </c>
      <c r="C46" s="143"/>
      <c r="D46" s="144"/>
      <c r="E46" s="145"/>
      <c r="F46" s="144"/>
      <c r="G46" s="146"/>
      <c r="H46" s="147"/>
      <c r="I46" s="146"/>
      <c r="J46" s="147"/>
      <c r="K46" s="146"/>
      <c r="L46" s="147"/>
      <c r="M46" s="146"/>
      <c r="N46" s="147"/>
      <c r="O46" s="146"/>
      <c r="P46" s="147"/>
      <c r="Q46" s="146"/>
      <c r="R46" s="156"/>
      <c r="S46" s="157"/>
      <c r="T46" s="156"/>
      <c r="U46" s="158"/>
      <c r="V46" s="156"/>
      <c r="W46" s="159"/>
      <c r="X46" s="160"/>
      <c r="Y46" s="161"/>
      <c r="Z46" s="160"/>
      <c r="AA46" s="160"/>
      <c r="AB46" s="160"/>
      <c r="AC46" s="160"/>
      <c r="AD46" s="160"/>
      <c r="AE46" s="160"/>
      <c r="AF46" s="160"/>
      <c r="AG46" s="173"/>
      <c r="AH46" s="173"/>
      <c r="AI46" s="160"/>
      <c r="AJ46" s="160"/>
      <c r="AK46" s="160"/>
      <c r="AL46" s="160"/>
      <c r="AM46" s="174">
        <v>0</v>
      </c>
      <c r="AN46" s="175">
        <v>2</v>
      </c>
      <c r="AO46" s="172">
        <v>0</v>
      </c>
      <c r="AP46" s="370" t="s">
        <v>23</v>
      </c>
      <c r="AQ46" s="382">
        <v>0</v>
      </c>
      <c r="AR46" s="382">
        <v>1</v>
      </c>
      <c r="AS46" s="383">
        <v>0</v>
      </c>
      <c r="AT46" s="384">
        <v>1</v>
      </c>
      <c r="AU46" s="374">
        <v>2</v>
      </c>
      <c r="AV46" s="385">
        <v>0.5</v>
      </c>
      <c r="AW46" s="382">
        <v>1</v>
      </c>
      <c r="AX46" s="371">
        <v>1</v>
      </c>
      <c r="AY46" s="385">
        <v>1</v>
      </c>
      <c r="AZ46" s="382">
        <v>3</v>
      </c>
      <c r="BA46" s="371">
        <v>4</v>
      </c>
      <c r="BB46" s="385">
        <f t="shared" si="13"/>
        <v>0.75</v>
      </c>
      <c r="BC46" s="382">
        <v>2</v>
      </c>
      <c r="BD46" s="371">
        <v>3</v>
      </c>
      <c r="BE46" s="385">
        <f t="shared" si="14"/>
        <v>0.66666666666666663</v>
      </c>
      <c r="BF46" s="382">
        <v>1</v>
      </c>
      <c r="BG46" s="371">
        <f t="shared" si="15"/>
        <v>2</v>
      </c>
      <c r="BH46" s="385">
        <f t="shared" si="16"/>
        <v>0.5</v>
      </c>
      <c r="BI46" s="382">
        <v>1</v>
      </c>
      <c r="BJ46" s="371">
        <f t="shared" si="17"/>
        <v>1</v>
      </c>
      <c r="BK46" s="385">
        <f t="shared" si="18"/>
        <v>1</v>
      </c>
      <c r="BL46" s="382">
        <v>0</v>
      </c>
      <c r="BM46" s="371">
        <f t="shared" si="19"/>
        <v>2</v>
      </c>
      <c r="BN46" s="441">
        <f t="shared" si="20"/>
        <v>0</v>
      </c>
    </row>
    <row r="47" spans="1:66" x14ac:dyDescent="0.25">
      <c r="A47" s="162"/>
      <c r="B47" s="369" t="s">
        <v>40</v>
      </c>
      <c r="C47" s="143">
        <v>385</v>
      </c>
      <c r="D47" s="144">
        <f>C47/C11</f>
        <v>0.58868501529051986</v>
      </c>
      <c r="E47" s="145">
        <v>393</v>
      </c>
      <c r="F47" s="144">
        <f>E47/E11</f>
        <v>0.64532019704433496</v>
      </c>
      <c r="G47" s="146">
        <v>409</v>
      </c>
      <c r="H47" s="147">
        <f>G47/G11</f>
        <v>0.69204737732656518</v>
      </c>
      <c r="I47" s="146">
        <v>416</v>
      </c>
      <c r="J47" s="147">
        <f>I47/I11</f>
        <v>0.68085106382978722</v>
      </c>
      <c r="K47" s="146">
        <v>569</v>
      </c>
      <c r="L47" s="147">
        <f>K47/K11</f>
        <v>0.69559902200488999</v>
      </c>
      <c r="M47" s="146">
        <v>540</v>
      </c>
      <c r="N47" s="147">
        <f>M47/M11</f>
        <v>0.6940874035989717</v>
      </c>
      <c r="O47" s="146">
        <v>538</v>
      </c>
      <c r="P47" s="147">
        <f>O47/O11</f>
        <v>0.70326797385620921</v>
      </c>
      <c r="Q47" s="146">
        <v>588</v>
      </c>
      <c r="R47" s="163">
        <f>Q47/Q11</f>
        <v>0.7110036275695284</v>
      </c>
      <c r="S47" s="146">
        <v>533</v>
      </c>
      <c r="T47" s="163">
        <f>S47/S11</f>
        <v>0.71161548731642188</v>
      </c>
      <c r="U47" s="164">
        <v>513</v>
      </c>
      <c r="V47" s="163">
        <f>U47/U11</f>
        <v>0.71052631578947367</v>
      </c>
      <c r="W47" s="165">
        <v>474</v>
      </c>
      <c r="X47" s="166">
        <f>W47/W11</f>
        <v>0.66386554621848737</v>
      </c>
      <c r="Y47" s="167">
        <v>576</v>
      </c>
      <c r="Z47" s="166">
        <f>Y47/Y11</f>
        <v>0.7227101631116688</v>
      </c>
      <c r="AA47" s="166"/>
      <c r="AB47" s="166">
        <v>0.68</v>
      </c>
      <c r="AC47" s="166">
        <v>0.69</v>
      </c>
      <c r="AD47" s="168">
        <f>+AD35+13+12</f>
        <v>650</v>
      </c>
      <c r="AE47" s="168">
        <f>389+538</f>
        <v>927</v>
      </c>
      <c r="AF47" s="166">
        <v>0.70194384449244063</v>
      </c>
      <c r="AG47" s="168">
        <v>676</v>
      </c>
      <c r="AH47" s="168">
        <v>995</v>
      </c>
      <c r="AI47" s="166">
        <v>0.68008048289738432</v>
      </c>
      <c r="AJ47" s="169">
        <v>713</v>
      </c>
      <c r="AK47" s="169">
        <v>1033</v>
      </c>
      <c r="AL47" s="166">
        <v>0.69089147286821706</v>
      </c>
      <c r="AM47" s="169">
        <v>668</v>
      </c>
      <c r="AN47" s="170">
        <v>950</v>
      </c>
      <c r="AO47" s="172">
        <v>0.70389884088514221</v>
      </c>
      <c r="AP47" s="370">
        <v>0.74</v>
      </c>
      <c r="AQ47" s="382">
        <v>627</v>
      </c>
      <c r="AR47" s="382">
        <v>882</v>
      </c>
      <c r="AS47" s="383">
        <v>0.71088435374149661</v>
      </c>
      <c r="AT47" s="384">
        <v>655</v>
      </c>
      <c r="AU47" s="374">
        <v>906</v>
      </c>
      <c r="AV47" s="385">
        <v>0.72295805739514352</v>
      </c>
      <c r="AW47" s="382">
        <v>622</v>
      </c>
      <c r="AX47" s="371">
        <v>871</v>
      </c>
      <c r="AY47" s="385">
        <v>0.71412169919632607</v>
      </c>
      <c r="AZ47" s="382">
        <v>654</v>
      </c>
      <c r="BA47" s="371">
        <v>876</v>
      </c>
      <c r="BB47" s="385">
        <f t="shared" si="13"/>
        <v>0.74657534246575341</v>
      </c>
      <c r="BC47" s="382">
        <v>689</v>
      </c>
      <c r="BD47" s="371">
        <v>967</v>
      </c>
      <c r="BE47" s="385">
        <f t="shared" si="14"/>
        <v>0.71251292657704235</v>
      </c>
      <c r="BF47" s="382">
        <v>663</v>
      </c>
      <c r="BG47" s="371">
        <f t="shared" si="15"/>
        <v>951</v>
      </c>
      <c r="BH47" s="385">
        <f t="shared" si="16"/>
        <v>0.69716088328075709</v>
      </c>
      <c r="BI47" s="382">
        <v>653</v>
      </c>
      <c r="BJ47" s="371">
        <f t="shared" si="17"/>
        <v>924</v>
      </c>
      <c r="BK47" s="385">
        <f t="shared" si="18"/>
        <v>0.70670995670995673</v>
      </c>
      <c r="BL47" s="382">
        <v>672</v>
      </c>
      <c r="BM47" s="371">
        <f t="shared" si="19"/>
        <v>1037</v>
      </c>
      <c r="BN47" s="441">
        <f t="shared" si="20"/>
        <v>0.64802314368370295</v>
      </c>
    </row>
    <row r="48" spans="1:66" x14ac:dyDescent="0.25">
      <c r="A48" s="518" t="s">
        <v>67</v>
      </c>
      <c r="B48" s="519"/>
      <c r="C48" s="143"/>
      <c r="D48" s="144"/>
      <c r="E48" s="145"/>
      <c r="F48" s="144"/>
      <c r="G48" s="146"/>
      <c r="H48" s="147"/>
      <c r="I48" s="146"/>
      <c r="J48" s="147"/>
      <c r="K48" s="146"/>
      <c r="L48" s="147"/>
      <c r="M48" s="146"/>
      <c r="N48" s="147"/>
      <c r="O48" s="146"/>
      <c r="P48" s="147"/>
      <c r="Q48" s="146">
        <v>5</v>
      </c>
      <c r="R48" s="163">
        <f>Q48/Q12</f>
        <v>0.83333333333333337</v>
      </c>
      <c r="S48" s="146">
        <v>1</v>
      </c>
      <c r="T48" s="163">
        <f>S48/S12</f>
        <v>0.16666666666666666</v>
      </c>
      <c r="U48" s="164">
        <v>3</v>
      </c>
      <c r="V48" s="163">
        <f>U48/U12</f>
        <v>0.5</v>
      </c>
      <c r="W48" s="165">
        <v>5</v>
      </c>
      <c r="X48" s="166">
        <f>W48/W12</f>
        <v>0.45454545454545453</v>
      </c>
      <c r="Y48" s="167">
        <v>2</v>
      </c>
      <c r="Z48" s="166">
        <f>Y48/Y12</f>
        <v>0.4</v>
      </c>
      <c r="AA48" s="166"/>
      <c r="AB48" s="166">
        <v>0.6</v>
      </c>
      <c r="AC48" s="166">
        <v>0.33</v>
      </c>
      <c r="AD48" s="168">
        <f>+AD36</f>
        <v>1</v>
      </c>
      <c r="AE48" s="168">
        <v>1</v>
      </c>
      <c r="AF48" s="166">
        <v>1</v>
      </c>
      <c r="AG48" s="168">
        <v>2</v>
      </c>
      <c r="AH48" s="168">
        <v>3</v>
      </c>
      <c r="AI48" s="166">
        <v>0.66666666666666663</v>
      </c>
      <c r="AJ48" s="169">
        <v>3</v>
      </c>
      <c r="AK48" s="169">
        <v>7</v>
      </c>
      <c r="AL48" s="166">
        <v>0.42857142857142855</v>
      </c>
      <c r="AM48" s="169">
        <v>3</v>
      </c>
      <c r="AN48" s="170">
        <v>5</v>
      </c>
      <c r="AO48" s="172">
        <v>0.6</v>
      </c>
      <c r="AP48" s="370">
        <v>0.63</v>
      </c>
      <c r="AQ48" s="382">
        <v>9</v>
      </c>
      <c r="AR48" s="382">
        <v>14</v>
      </c>
      <c r="AS48" s="383">
        <v>0.6428571428571429</v>
      </c>
      <c r="AT48" s="384">
        <v>8</v>
      </c>
      <c r="AU48" s="374">
        <v>15</v>
      </c>
      <c r="AV48" s="385">
        <v>0.53333333333333333</v>
      </c>
      <c r="AW48" s="382">
        <v>5</v>
      </c>
      <c r="AX48" s="371">
        <v>10</v>
      </c>
      <c r="AY48" s="385">
        <v>0.5</v>
      </c>
      <c r="AZ48" s="382">
        <v>4</v>
      </c>
      <c r="BA48" s="371">
        <v>6</v>
      </c>
      <c r="BB48" s="385">
        <f t="shared" si="13"/>
        <v>0.66666666666666663</v>
      </c>
      <c r="BC48" s="382">
        <v>5</v>
      </c>
      <c r="BD48" s="371">
        <v>7</v>
      </c>
      <c r="BE48" s="385">
        <f t="shared" si="14"/>
        <v>0.7142857142857143</v>
      </c>
      <c r="BF48" s="382">
        <v>5</v>
      </c>
      <c r="BG48" s="371">
        <f t="shared" si="15"/>
        <v>8</v>
      </c>
      <c r="BH48" s="385">
        <f t="shared" si="16"/>
        <v>0.625</v>
      </c>
      <c r="BI48" s="382">
        <v>4</v>
      </c>
      <c r="BJ48" s="371">
        <f t="shared" si="17"/>
        <v>7</v>
      </c>
      <c r="BK48" s="385">
        <f t="shared" si="18"/>
        <v>0.5714285714285714</v>
      </c>
      <c r="BL48" s="382">
        <v>4</v>
      </c>
      <c r="BM48" s="371">
        <f t="shared" si="19"/>
        <v>5</v>
      </c>
      <c r="BN48" s="441">
        <f t="shared" si="20"/>
        <v>0.8</v>
      </c>
    </row>
    <row r="49" spans="1:67" x14ac:dyDescent="0.25">
      <c r="A49" s="379"/>
      <c r="B49" s="369" t="s">
        <v>24</v>
      </c>
      <c r="C49" s="143"/>
      <c r="D49" s="144"/>
      <c r="E49" s="145"/>
      <c r="F49" s="144"/>
      <c r="G49" s="146"/>
      <c r="H49" s="147"/>
      <c r="I49" s="146"/>
      <c r="J49" s="147"/>
      <c r="K49" s="146"/>
      <c r="L49" s="147"/>
      <c r="M49" s="146"/>
      <c r="N49" s="147"/>
      <c r="O49" s="146"/>
      <c r="P49" s="147"/>
      <c r="Q49" s="146"/>
      <c r="R49" s="156"/>
      <c r="S49" s="157"/>
      <c r="T49" s="156"/>
      <c r="U49" s="158"/>
      <c r="V49" s="156"/>
      <c r="W49" s="159"/>
      <c r="X49" s="160"/>
      <c r="Y49" s="161"/>
      <c r="Z49" s="160"/>
      <c r="AA49" s="160"/>
      <c r="AB49" s="160"/>
      <c r="AC49" s="160"/>
      <c r="AD49" s="173"/>
      <c r="AE49" s="173"/>
      <c r="AF49" s="160"/>
      <c r="AG49" s="173"/>
      <c r="AH49" s="173"/>
      <c r="AI49" s="160"/>
      <c r="AJ49" s="160"/>
      <c r="AK49" s="160"/>
      <c r="AL49" s="160"/>
      <c r="AM49" s="169">
        <v>25</v>
      </c>
      <c r="AN49" s="170">
        <v>43</v>
      </c>
      <c r="AO49" s="172">
        <v>0.59523809523809523</v>
      </c>
      <c r="AP49" s="370">
        <v>0.76</v>
      </c>
      <c r="AQ49" s="382">
        <v>32</v>
      </c>
      <c r="AR49" s="382">
        <v>54</v>
      </c>
      <c r="AS49" s="383">
        <v>0.59259259259259256</v>
      </c>
      <c r="AT49" s="384">
        <v>35</v>
      </c>
      <c r="AU49" s="374">
        <v>55</v>
      </c>
      <c r="AV49" s="385">
        <v>0.63636363636363635</v>
      </c>
      <c r="AW49" s="382">
        <v>9</v>
      </c>
      <c r="AX49" s="371">
        <v>18</v>
      </c>
      <c r="AY49" s="385">
        <v>0.5</v>
      </c>
      <c r="AZ49" s="382">
        <v>5</v>
      </c>
      <c r="BA49" s="371">
        <v>10</v>
      </c>
      <c r="BB49" s="385">
        <f>AZ49/BA49</f>
        <v>0.5</v>
      </c>
      <c r="BC49" s="382">
        <v>16</v>
      </c>
      <c r="BD49" s="371">
        <v>28</v>
      </c>
      <c r="BE49" s="385">
        <f t="shared" si="14"/>
        <v>0.5714285714285714</v>
      </c>
      <c r="BF49" s="382">
        <v>6</v>
      </c>
      <c r="BG49" s="371">
        <f t="shared" si="15"/>
        <v>14</v>
      </c>
      <c r="BH49" s="385">
        <f t="shared" si="16"/>
        <v>0.42857142857142855</v>
      </c>
      <c r="BI49" s="382">
        <v>10</v>
      </c>
      <c r="BJ49" s="371">
        <f t="shared" si="17"/>
        <v>20</v>
      </c>
      <c r="BK49" s="385">
        <f t="shared" si="18"/>
        <v>0.5</v>
      </c>
      <c r="BL49" s="382">
        <v>9</v>
      </c>
      <c r="BM49" s="371">
        <f t="shared" si="19"/>
        <v>15</v>
      </c>
      <c r="BN49" s="441">
        <f t="shared" si="20"/>
        <v>0.6</v>
      </c>
    </row>
    <row r="50" spans="1:67" x14ac:dyDescent="0.25">
      <c r="A50" s="162"/>
      <c r="B50" s="369" t="s">
        <v>41</v>
      </c>
      <c r="C50" s="143">
        <v>10</v>
      </c>
      <c r="D50" s="144">
        <f>C50/C14</f>
        <v>0.58823529411764708</v>
      </c>
      <c r="E50" s="145">
        <v>7</v>
      </c>
      <c r="F50" s="144">
        <f>E50/E14</f>
        <v>0.3888888888888889</v>
      </c>
      <c r="G50" s="146"/>
      <c r="H50" s="147" t="e">
        <f>G50/G14</f>
        <v>#DIV/0!</v>
      </c>
      <c r="I50" s="146"/>
      <c r="J50" s="147" t="e">
        <f>I50/I14</f>
        <v>#DIV/0!</v>
      </c>
      <c r="K50" s="146"/>
      <c r="L50" s="147" t="e">
        <f>K50/K14</f>
        <v>#DIV/0!</v>
      </c>
      <c r="M50" s="146"/>
      <c r="N50" s="147" t="e">
        <f>M50/M14</f>
        <v>#DIV/0!</v>
      </c>
      <c r="O50" s="146"/>
      <c r="P50" s="147" t="e">
        <f>O50/O14</f>
        <v>#DIV/0!</v>
      </c>
      <c r="Q50" s="146">
        <v>31</v>
      </c>
      <c r="R50" s="163">
        <f>Q50/Q14</f>
        <v>0.67391304347826086</v>
      </c>
      <c r="S50" s="146">
        <v>26</v>
      </c>
      <c r="T50" s="163">
        <f>S50/S14</f>
        <v>0.56521739130434778</v>
      </c>
      <c r="U50" s="164">
        <v>22</v>
      </c>
      <c r="V50" s="163">
        <f>U50/U14</f>
        <v>0.59459459459459463</v>
      </c>
      <c r="W50" s="165">
        <v>45</v>
      </c>
      <c r="X50" s="166">
        <f>W50/W14</f>
        <v>0.73770491803278693</v>
      </c>
      <c r="Y50" s="167">
        <v>36</v>
      </c>
      <c r="Z50" s="166">
        <f>Y50/Y14</f>
        <v>0.66666666666666663</v>
      </c>
      <c r="AA50" s="166"/>
      <c r="AB50" s="166">
        <v>0.59</v>
      </c>
      <c r="AC50" s="166">
        <v>0.83</v>
      </c>
      <c r="AD50" s="168">
        <f>+AD38+1</f>
        <v>3</v>
      </c>
      <c r="AE50" s="168">
        <f>3+2</f>
        <v>5</v>
      </c>
      <c r="AF50" s="166">
        <v>0.6</v>
      </c>
      <c r="AG50" s="168">
        <v>3</v>
      </c>
      <c r="AH50" s="168">
        <v>5</v>
      </c>
      <c r="AI50" s="166">
        <v>0.6</v>
      </c>
      <c r="AJ50" s="169">
        <v>4</v>
      </c>
      <c r="AK50" s="169">
        <v>4</v>
      </c>
      <c r="AL50" s="166">
        <v>1</v>
      </c>
      <c r="AM50" s="169">
        <v>4</v>
      </c>
      <c r="AN50" s="170">
        <v>6</v>
      </c>
      <c r="AO50" s="172">
        <v>0.66666666666666663</v>
      </c>
      <c r="AP50" s="370">
        <v>0.48</v>
      </c>
      <c r="AQ50" s="382">
        <v>38</v>
      </c>
      <c r="AR50" s="382">
        <v>59</v>
      </c>
      <c r="AS50" s="383">
        <v>0.64406779661016944</v>
      </c>
      <c r="AT50" s="384">
        <v>47</v>
      </c>
      <c r="AU50" s="374">
        <v>70</v>
      </c>
      <c r="AV50" s="385">
        <v>0.67142857142857137</v>
      </c>
      <c r="AW50" s="382">
        <v>17</v>
      </c>
      <c r="AX50" s="371">
        <v>25</v>
      </c>
      <c r="AY50" s="385">
        <v>0.68</v>
      </c>
      <c r="AZ50" s="382">
        <v>28</v>
      </c>
      <c r="BA50" s="371">
        <v>40</v>
      </c>
      <c r="BB50" s="385">
        <f>AZ50/BA50</f>
        <v>0.7</v>
      </c>
      <c r="BC50" s="382">
        <v>27</v>
      </c>
      <c r="BD50" s="371">
        <v>37</v>
      </c>
      <c r="BE50" s="385">
        <f t="shared" si="14"/>
        <v>0.72972972972972971</v>
      </c>
      <c r="BF50" s="382">
        <v>30</v>
      </c>
      <c r="BG50" s="371">
        <f t="shared" si="15"/>
        <v>40</v>
      </c>
      <c r="BH50" s="385">
        <f t="shared" si="16"/>
        <v>0.75</v>
      </c>
      <c r="BI50" s="382">
        <v>27</v>
      </c>
      <c r="BJ50" s="371">
        <f t="shared" si="17"/>
        <v>34</v>
      </c>
      <c r="BK50" s="385">
        <f t="shared" si="18"/>
        <v>0.79411764705882348</v>
      </c>
      <c r="BL50" s="382">
        <v>22</v>
      </c>
      <c r="BM50" s="371">
        <f t="shared" si="19"/>
        <v>37</v>
      </c>
      <c r="BN50" s="441">
        <f t="shared" si="20"/>
        <v>0.59459459459459463</v>
      </c>
    </row>
    <row r="51" spans="1:67" x14ac:dyDescent="0.25">
      <c r="A51" s="176"/>
      <c r="B51" s="177" t="s">
        <v>12</v>
      </c>
      <c r="C51" s="202">
        <v>444</v>
      </c>
      <c r="D51" s="179">
        <f>C51/C15</f>
        <v>0.61157024793388426</v>
      </c>
      <c r="E51" s="202">
        <v>430</v>
      </c>
      <c r="F51" s="179">
        <f>E51/E15</f>
        <v>0.63235294117647056</v>
      </c>
      <c r="G51" s="180">
        <v>437</v>
      </c>
      <c r="H51" s="181">
        <f>G51/G15</f>
        <v>0.68068535825545173</v>
      </c>
      <c r="I51" s="180">
        <v>455</v>
      </c>
      <c r="J51" s="181">
        <f>I51/I15</f>
        <v>0.660377358490566</v>
      </c>
      <c r="K51" s="180">
        <v>597</v>
      </c>
      <c r="L51" s="181">
        <f>K51/K15</f>
        <v>0.67381489841986453</v>
      </c>
      <c r="M51" s="180">
        <v>626</v>
      </c>
      <c r="N51" s="181">
        <f>M51/M15</f>
        <v>0.66951871657754014</v>
      </c>
      <c r="O51" s="180">
        <v>605</v>
      </c>
      <c r="P51" s="181">
        <f>O51/O15</f>
        <v>0.68985176738882559</v>
      </c>
      <c r="Q51" s="180">
        <v>656</v>
      </c>
      <c r="R51" s="182">
        <f>Q51/Q15</f>
        <v>0.69861554845580409</v>
      </c>
      <c r="S51" s="180">
        <v>642</v>
      </c>
      <c r="T51" s="182">
        <f>S51/S15</f>
        <v>0.67936507936507939</v>
      </c>
      <c r="U51" s="183">
        <v>626</v>
      </c>
      <c r="V51" s="182">
        <f>U51/U15</f>
        <v>0.68942731277533043</v>
      </c>
      <c r="W51" s="184">
        <v>626</v>
      </c>
      <c r="X51" s="185">
        <f>W51/W15</f>
        <v>0.66103484688489966</v>
      </c>
      <c r="Y51" s="186">
        <v>686</v>
      </c>
      <c r="Z51" s="185">
        <f>Y51/Y15</f>
        <v>0.69928644240570847</v>
      </c>
      <c r="AA51" s="185"/>
      <c r="AB51" s="185">
        <v>0.67</v>
      </c>
      <c r="AC51" s="185">
        <v>0.67</v>
      </c>
      <c r="AD51" s="187">
        <f>SUM(AD42:AD50)</f>
        <v>763</v>
      </c>
      <c r="AE51" s="187">
        <f>SUM(AE42:AE50)</f>
        <v>1143</v>
      </c>
      <c r="AF51" s="188">
        <v>0.6681260945709282</v>
      </c>
      <c r="AG51" s="187">
        <v>793</v>
      </c>
      <c r="AH51" s="187">
        <v>1199</v>
      </c>
      <c r="AI51" s="185">
        <v>0.66138448707256048</v>
      </c>
      <c r="AJ51" s="189">
        <v>857</v>
      </c>
      <c r="AK51" s="189">
        <v>1275</v>
      </c>
      <c r="AL51" s="185">
        <v>0.67321288295365278</v>
      </c>
      <c r="AM51" s="189">
        <v>856</v>
      </c>
      <c r="AN51" s="190">
        <v>1250</v>
      </c>
      <c r="AO51" s="192">
        <v>0.6858974358974359</v>
      </c>
      <c r="AP51" s="207">
        <v>0.71</v>
      </c>
      <c r="AQ51" s="213">
        <v>841</v>
      </c>
      <c r="AR51" s="213">
        <v>1228</v>
      </c>
      <c r="AS51" s="233">
        <v>0.68485342019543971</v>
      </c>
      <c r="AT51" s="234">
        <v>871</v>
      </c>
      <c r="AU51" s="230">
        <v>1239</v>
      </c>
      <c r="AV51" s="235">
        <v>0.70298627925746571</v>
      </c>
      <c r="AW51" s="213">
        <f>SUM(AW42:AW50)</f>
        <v>782</v>
      </c>
      <c r="AX51" s="208">
        <f>SUM(AX42:AX50)</f>
        <v>1140</v>
      </c>
      <c r="AY51" s="235">
        <v>0.68596491228070178</v>
      </c>
      <c r="AZ51" s="213">
        <f>SUM(AZ42:AZ50)</f>
        <v>856</v>
      </c>
      <c r="BA51" s="208">
        <f>SUM(BA42:BA50)</f>
        <v>1185</v>
      </c>
      <c r="BB51" s="235">
        <f t="shared" si="13"/>
        <v>0.72236286919831227</v>
      </c>
      <c r="BC51" s="213">
        <f>SUM(BC42:BC50)</f>
        <v>910</v>
      </c>
      <c r="BD51" s="208">
        <f>SUM(BD42:BD50)</f>
        <v>1327</v>
      </c>
      <c r="BE51" s="235">
        <f t="shared" si="14"/>
        <v>0.68575734740015071</v>
      </c>
      <c r="BF51" s="213">
        <f>SUM(BF42:BF50)</f>
        <v>893</v>
      </c>
      <c r="BG51" s="208">
        <f>SUM(BG42:BG50)</f>
        <v>1324</v>
      </c>
      <c r="BH51" s="235">
        <f t="shared" si="16"/>
        <v>0.67447129909365555</v>
      </c>
      <c r="BI51" s="213">
        <f>SUM(BI42:BI50)</f>
        <v>875</v>
      </c>
      <c r="BJ51" s="208">
        <f>SUM(BJ42:BJ50)</f>
        <v>1284</v>
      </c>
      <c r="BK51" s="235">
        <f t="shared" si="18"/>
        <v>0.68146417445482865</v>
      </c>
      <c r="BL51" s="213">
        <f>SUM(BL42:BL50)</f>
        <v>898</v>
      </c>
      <c r="BM51" s="208">
        <f>SUM(BM42:BM50)</f>
        <v>1466</v>
      </c>
      <c r="BN51" s="442">
        <f t="shared" si="20"/>
        <v>0.61255115961800821</v>
      </c>
    </row>
    <row r="52" spans="1:67" ht="25.95" customHeight="1" x14ac:dyDescent="0.25">
      <c r="A52" s="517" t="s">
        <v>42</v>
      </c>
      <c r="B52" s="517"/>
      <c r="C52" s="517"/>
      <c r="D52" s="517"/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  <c r="T52" s="517"/>
      <c r="U52" s="517"/>
      <c r="V52" s="517"/>
      <c r="W52" s="517"/>
      <c r="X52" s="517"/>
      <c r="Y52" s="517"/>
      <c r="Z52" s="517"/>
      <c r="AA52" s="517"/>
      <c r="AB52" s="517"/>
      <c r="AC52" s="517"/>
      <c r="AD52" s="517"/>
      <c r="AE52" s="517"/>
      <c r="AF52" s="517"/>
      <c r="AG52" s="517"/>
      <c r="AH52" s="517"/>
      <c r="AI52" s="517"/>
      <c r="AJ52" s="517"/>
      <c r="AK52" s="517"/>
      <c r="AL52" s="517"/>
      <c r="AM52" s="517"/>
      <c r="AN52" s="517"/>
      <c r="AO52" s="517"/>
      <c r="AP52" s="517"/>
      <c r="AQ52" s="517"/>
      <c r="AR52" s="517"/>
      <c r="AS52" s="517"/>
      <c r="AT52" s="517"/>
      <c r="AU52" s="517"/>
      <c r="AV52" s="517"/>
      <c r="AW52" s="517"/>
      <c r="AX52" s="517"/>
      <c r="AY52" s="517"/>
      <c r="AZ52" s="517"/>
      <c r="BA52" s="517"/>
      <c r="BB52" s="517"/>
      <c r="BC52" s="517"/>
      <c r="BD52" s="517"/>
      <c r="BE52" s="517"/>
      <c r="BF52" s="517"/>
      <c r="BG52" s="517"/>
      <c r="BH52" s="517"/>
      <c r="BI52" s="517"/>
      <c r="BJ52" s="517"/>
      <c r="BK52" s="517"/>
      <c r="BL52" s="236"/>
      <c r="BN52" s="380"/>
      <c r="BO52" s="380"/>
    </row>
    <row r="53" spans="1:67" x14ac:dyDescent="0.25">
      <c r="A53" s="298" t="s">
        <v>53</v>
      </c>
      <c r="B53" s="299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380"/>
      <c r="BL53" s="380"/>
      <c r="BM53" s="380"/>
      <c r="BN53" s="380"/>
      <c r="BO53" s="380"/>
    </row>
    <row r="54" spans="1:67" x14ac:dyDescent="0.25">
      <c r="BK54" s="380"/>
      <c r="BL54" s="380"/>
      <c r="BM54" s="380"/>
      <c r="BN54" s="380"/>
      <c r="BO54" s="380"/>
    </row>
  </sheetData>
  <mergeCells count="17">
    <mergeCell ref="A52:BK52"/>
    <mergeCell ref="A45:B45"/>
    <mergeCell ref="A48:B48"/>
    <mergeCell ref="A10:B10"/>
    <mergeCell ref="A43:B43"/>
    <mergeCell ref="A12:B12"/>
    <mergeCell ref="A19:B19"/>
    <mergeCell ref="A33:B33"/>
    <mergeCell ref="A21:B21"/>
    <mergeCell ref="A24:B24"/>
    <mergeCell ref="A31:B31"/>
    <mergeCell ref="A36:B36"/>
    <mergeCell ref="A7:B7"/>
    <mergeCell ref="A8:B8"/>
    <mergeCell ref="A9:B9"/>
    <mergeCell ref="A3:BN3"/>
    <mergeCell ref="A1:BN2"/>
  </mergeCells>
  <pageMargins left="0.7" right="0.7" top="0.75" bottom="0.75" header="0.3" footer="0.3"/>
  <pageSetup orientation="portrait" r:id="rId1"/>
  <headerFooter alignWithMargins="0"/>
  <ignoredErrors>
    <ignoredError sqref="AP27:BK5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F28"/>
  <sheetViews>
    <sheetView workbookViewId="0">
      <selection activeCell="BH22" sqref="BH22"/>
    </sheetView>
  </sheetViews>
  <sheetFormatPr defaultColWidth="8.88671875" defaultRowHeight="13.2" x14ac:dyDescent="0.25"/>
  <cols>
    <col min="1" max="2" width="8.88671875" style="237"/>
    <col min="3" max="3" width="12.6640625" style="237" customWidth="1"/>
    <col min="4" max="17" width="0" style="237" hidden="1" customWidth="1"/>
    <col min="18" max="37" width="7.6640625" style="237" hidden="1" customWidth="1"/>
    <col min="38" max="40" width="7.88671875" style="237" hidden="1" customWidth="1"/>
    <col min="41" max="41" width="2.109375" style="237" hidden="1" customWidth="1"/>
    <col min="42" max="51" width="6.88671875" style="237" hidden="1" customWidth="1"/>
    <col min="52" max="52" width="6.88671875" style="237" customWidth="1"/>
    <col min="53" max="53" width="7.88671875" style="237" customWidth="1"/>
    <col min="54" max="54" width="6.88671875" style="237" customWidth="1"/>
    <col min="55" max="57" width="7.88671875" style="237" customWidth="1"/>
    <col min="58" max="16384" width="8.88671875" style="237"/>
  </cols>
  <sheetData>
    <row r="1" spans="2:58" x14ac:dyDescent="0.25">
      <c r="B1" s="523" t="s">
        <v>37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</row>
    <row r="2" spans="2:58" ht="15" customHeight="1" x14ac:dyDescent="0.25">
      <c r="B2" s="522" t="s">
        <v>70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  <c r="AV2" s="522"/>
      <c r="AW2" s="522"/>
      <c r="AX2" s="522"/>
      <c r="AY2" s="522"/>
      <c r="AZ2" s="522"/>
      <c r="BA2" s="522"/>
      <c r="BB2" s="522"/>
      <c r="BC2" s="522"/>
      <c r="BD2" s="522"/>
      <c r="BE2" s="522"/>
    </row>
    <row r="3" spans="2:58" ht="15" customHeight="1" x14ac:dyDescent="0.25"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</row>
    <row r="4" spans="2:58" x14ac:dyDescent="0.25">
      <c r="B4" s="529" t="s">
        <v>1</v>
      </c>
      <c r="C4" s="531"/>
      <c r="D4" s="91">
        <v>1993</v>
      </c>
      <c r="E4" s="92"/>
      <c r="F4" s="91">
        <v>1994</v>
      </c>
      <c r="G4" s="92"/>
      <c r="H4" s="93">
        <v>1995</v>
      </c>
      <c r="I4" s="94"/>
      <c r="J4" s="93">
        <v>1996</v>
      </c>
      <c r="K4" s="94"/>
      <c r="L4" s="93">
        <v>1997</v>
      </c>
      <c r="M4" s="94"/>
      <c r="N4" s="93">
        <v>1998</v>
      </c>
      <c r="O4" s="94"/>
      <c r="P4" s="93">
        <v>1999</v>
      </c>
      <c r="Q4" s="94"/>
      <c r="R4" s="93">
        <v>2000</v>
      </c>
      <c r="S4" s="94"/>
      <c r="T4" s="93">
        <v>2001</v>
      </c>
      <c r="U4" s="94"/>
      <c r="V4" s="93">
        <v>2002</v>
      </c>
      <c r="W4" s="94"/>
      <c r="X4" s="95">
        <v>2003</v>
      </c>
      <c r="Y4" s="96"/>
      <c r="Z4" s="95">
        <v>2004</v>
      </c>
      <c r="AA4" s="96"/>
      <c r="AB4" s="95">
        <v>2005</v>
      </c>
      <c r="AC4" s="96"/>
      <c r="AD4" s="95">
        <v>2006</v>
      </c>
      <c r="AE4" s="96"/>
      <c r="AF4" s="95">
        <v>2007</v>
      </c>
      <c r="AG4" s="96"/>
      <c r="AH4" s="95">
        <v>2008</v>
      </c>
      <c r="AI4" s="96"/>
      <c r="AJ4" s="95">
        <v>2009</v>
      </c>
      <c r="AK4" s="109"/>
      <c r="AL4" s="97">
        <v>2010</v>
      </c>
      <c r="AM4" s="110"/>
      <c r="AN4" s="524">
        <v>2011</v>
      </c>
      <c r="AO4" s="525"/>
      <c r="AP4" s="520">
        <v>2012</v>
      </c>
      <c r="AQ4" s="521"/>
      <c r="AR4" s="520">
        <v>2013</v>
      </c>
      <c r="AS4" s="521"/>
      <c r="AT4" s="520">
        <v>2014</v>
      </c>
      <c r="AU4" s="521"/>
      <c r="AV4" s="520">
        <v>2015</v>
      </c>
      <c r="AW4" s="521"/>
      <c r="AX4" s="520">
        <v>2016</v>
      </c>
      <c r="AY4" s="521"/>
      <c r="AZ4" s="520">
        <v>2017</v>
      </c>
      <c r="BA4" s="521"/>
      <c r="BB4" s="528">
        <v>2018</v>
      </c>
      <c r="BC4" s="521"/>
      <c r="BD4" s="526">
        <v>2019</v>
      </c>
      <c r="BE4" s="527"/>
    </row>
    <row r="5" spans="2:58" x14ac:dyDescent="0.25">
      <c r="B5" s="98"/>
      <c r="C5" s="477"/>
      <c r="D5" s="99"/>
      <c r="E5" s="101" t="s">
        <v>9</v>
      </c>
      <c r="F5" s="100"/>
      <c r="G5" s="101" t="s">
        <v>9</v>
      </c>
      <c r="H5" s="102"/>
      <c r="I5" s="103" t="s">
        <v>9</v>
      </c>
      <c r="J5" s="102"/>
      <c r="K5" s="103" t="s">
        <v>9</v>
      </c>
      <c r="L5" s="102"/>
      <c r="M5" s="103" t="s">
        <v>9</v>
      </c>
      <c r="N5" s="102"/>
      <c r="O5" s="103" t="s">
        <v>9</v>
      </c>
      <c r="P5" s="102"/>
      <c r="Q5" s="103" t="s">
        <v>9</v>
      </c>
      <c r="R5" s="102"/>
      <c r="S5" s="103" t="s">
        <v>9</v>
      </c>
      <c r="T5" s="102"/>
      <c r="U5" s="103" t="s">
        <v>9</v>
      </c>
      <c r="V5" s="102"/>
      <c r="W5" s="103" t="s">
        <v>9</v>
      </c>
      <c r="X5" s="104"/>
      <c r="Y5" s="105" t="s">
        <v>9</v>
      </c>
      <c r="Z5" s="104"/>
      <c r="AA5" s="105" t="s">
        <v>9</v>
      </c>
      <c r="AB5" s="104"/>
      <c r="AC5" s="105" t="s">
        <v>9</v>
      </c>
      <c r="AD5" s="104"/>
      <c r="AE5" s="105" t="s">
        <v>9</v>
      </c>
      <c r="AF5" s="104"/>
      <c r="AG5" s="105" t="s">
        <v>9</v>
      </c>
      <c r="AH5" s="104"/>
      <c r="AI5" s="105" t="s">
        <v>9</v>
      </c>
      <c r="AJ5" s="104"/>
      <c r="AK5" s="106" t="s">
        <v>9</v>
      </c>
      <c r="AL5" s="107"/>
      <c r="AM5" s="108" t="s">
        <v>9</v>
      </c>
      <c r="AN5" s="107"/>
      <c r="AO5" s="108" t="s">
        <v>9</v>
      </c>
      <c r="AP5" s="240"/>
      <c r="AQ5" s="241" t="s">
        <v>9</v>
      </c>
      <c r="AR5" s="240"/>
      <c r="AS5" s="241" t="s">
        <v>9</v>
      </c>
      <c r="AT5" s="240"/>
      <c r="AU5" s="241" t="s">
        <v>9</v>
      </c>
      <c r="AV5" s="240"/>
      <c r="AW5" s="241" t="s">
        <v>9</v>
      </c>
      <c r="AX5" s="240" t="s">
        <v>50</v>
      </c>
      <c r="AY5" s="241" t="s">
        <v>9</v>
      </c>
      <c r="AZ5" s="240" t="s">
        <v>50</v>
      </c>
      <c r="BA5" s="241" t="s">
        <v>9</v>
      </c>
      <c r="BB5" s="242" t="s">
        <v>50</v>
      </c>
      <c r="BC5" s="241" t="s">
        <v>9</v>
      </c>
      <c r="BD5" s="243" t="s">
        <v>50</v>
      </c>
      <c r="BE5" s="244" t="s">
        <v>9</v>
      </c>
    </row>
    <row r="6" spans="2:58" x14ac:dyDescent="0.25">
      <c r="B6" s="529" t="s">
        <v>2</v>
      </c>
      <c r="C6" s="530"/>
      <c r="D6" s="474"/>
      <c r="E6" s="92"/>
      <c r="F6" s="91"/>
      <c r="G6" s="92"/>
      <c r="H6" s="93"/>
      <c r="I6" s="94"/>
      <c r="J6" s="93"/>
      <c r="K6" s="94"/>
      <c r="L6" s="93"/>
      <c r="M6" s="94"/>
      <c r="N6" s="93"/>
      <c r="O6" s="94"/>
      <c r="P6" s="93"/>
      <c r="Q6" s="94"/>
      <c r="R6" s="93"/>
      <c r="S6" s="94"/>
      <c r="T6" s="93"/>
      <c r="U6" s="94"/>
      <c r="V6" s="93"/>
      <c r="W6" s="94"/>
      <c r="X6" s="95"/>
      <c r="Y6" s="96"/>
      <c r="Z6" s="95"/>
      <c r="AA6" s="96"/>
      <c r="AB6" s="95"/>
      <c r="AC6" s="96"/>
      <c r="AD6" s="95"/>
      <c r="AE6" s="96"/>
      <c r="AF6" s="95"/>
      <c r="AG6" s="96"/>
      <c r="AH6" s="95"/>
      <c r="AI6" s="96"/>
      <c r="AJ6" s="95"/>
      <c r="AK6" s="109"/>
      <c r="AL6" s="97"/>
      <c r="AM6" s="110"/>
      <c r="AN6" s="97"/>
      <c r="AO6" s="110"/>
      <c r="AP6" s="245"/>
      <c r="AQ6" s="246"/>
      <c r="AR6" s="245"/>
      <c r="AS6" s="246"/>
      <c r="AT6" s="245"/>
      <c r="AU6" s="246"/>
      <c r="AV6" s="245"/>
      <c r="AW6" s="246"/>
      <c r="AX6" s="245"/>
      <c r="AY6" s="246"/>
      <c r="AZ6" s="247"/>
      <c r="BA6" s="246"/>
      <c r="BB6" s="247"/>
      <c r="BC6" s="246"/>
      <c r="BD6" s="443"/>
      <c r="BE6" s="433"/>
    </row>
    <row r="7" spans="2:58" x14ac:dyDescent="0.25">
      <c r="B7" s="111"/>
      <c r="C7" s="475" t="s">
        <v>13</v>
      </c>
      <c r="D7" s="472">
        <v>321</v>
      </c>
      <c r="E7" s="249"/>
      <c r="F7" s="248">
        <v>283</v>
      </c>
      <c r="G7" s="249"/>
      <c r="H7" s="250">
        <v>230</v>
      </c>
      <c r="I7" s="251"/>
      <c r="J7" s="250">
        <v>296</v>
      </c>
      <c r="K7" s="251"/>
      <c r="L7" s="250">
        <v>371</v>
      </c>
      <c r="M7" s="251"/>
      <c r="N7" s="250">
        <v>401</v>
      </c>
      <c r="O7" s="251"/>
      <c r="P7" s="250">
        <v>340</v>
      </c>
      <c r="Q7" s="251"/>
      <c r="R7" s="250">
        <v>394</v>
      </c>
      <c r="S7" s="251"/>
      <c r="T7" s="250">
        <v>403</v>
      </c>
      <c r="U7" s="251"/>
      <c r="V7" s="250">
        <v>379</v>
      </c>
      <c r="W7" s="251"/>
      <c r="X7" s="252">
        <v>416</v>
      </c>
      <c r="Y7" s="253"/>
      <c r="Z7" s="252">
        <v>445</v>
      </c>
      <c r="AA7" s="253"/>
      <c r="AB7" s="252">
        <f>431-4</f>
        <v>427</v>
      </c>
      <c r="AC7" s="253"/>
      <c r="AD7" s="252">
        <v>440</v>
      </c>
      <c r="AE7" s="253"/>
      <c r="AF7" s="252">
        <v>497</v>
      </c>
      <c r="AG7" s="253"/>
      <c r="AH7" s="252">
        <v>504</v>
      </c>
      <c r="AI7" s="253"/>
      <c r="AJ7" s="252">
        <v>536</v>
      </c>
      <c r="AK7" s="254"/>
      <c r="AL7" s="255">
        <v>479</v>
      </c>
      <c r="AM7" s="256"/>
      <c r="AN7" s="255">
        <v>506</v>
      </c>
      <c r="AO7" s="256"/>
      <c r="AP7" s="287">
        <v>497</v>
      </c>
      <c r="AQ7" s="288"/>
      <c r="AR7" s="287">
        <v>507</v>
      </c>
      <c r="AS7" s="288"/>
      <c r="AT7" s="350">
        <v>418</v>
      </c>
      <c r="AU7" s="349"/>
      <c r="AV7" s="350">
        <v>487</v>
      </c>
      <c r="AW7" s="349"/>
      <c r="AX7" s="350">
        <v>540</v>
      </c>
      <c r="AY7" s="457">
        <f>+AX7/AX9</f>
        <v>0.40693293142426529</v>
      </c>
      <c r="AZ7" s="348">
        <v>555</v>
      </c>
      <c r="BA7" s="457">
        <f>+AZ7/AZ9</f>
        <v>0.41918429003021146</v>
      </c>
      <c r="BB7" s="348">
        <v>543</v>
      </c>
      <c r="BC7" s="457">
        <f>+BB7/BB9</f>
        <v>0.42289719626168226</v>
      </c>
      <c r="BD7" s="289">
        <v>655</v>
      </c>
      <c r="BE7" s="463">
        <f>+BD7/BD9</f>
        <v>0.44679399727148705</v>
      </c>
    </row>
    <row r="8" spans="2:58" x14ac:dyDescent="0.25">
      <c r="B8" s="258"/>
      <c r="C8" s="476" t="s">
        <v>14</v>
      </c>
      <c r="D8" s="473">
        <v>405</v>
      </c>
      <c r="E8" s="260"/>
      <c r="F8" s="270">
        <v>397</v>
      </c>
      <c r="G8" s="260"/>
      <c r="H8" s="261">
        <v>412</v>
      </c>
      <c r="I8" s="262"/>
      <c r="J8" s="261">
        <v>393</v>
      </c>
      <c r="K8" s="262"/>
      <c r="L8" s="261">
        <v>515</v>
      </c>
      <c r="M8" s="262"/>
      <c r="N8" s="261">
        <v>534</v>
      </c>
      <c r="O8" s="262"/>
      <c r="P8" s="261">
        <v>537</v>
      </c>
      <c r="Q8" s="262"/>
      <c r="R8" s="261">
        <v>546</v>
      </c>
      <c r="S8" s="262"/>
      <c r="T8" s="261">
        <v>542</v>
      </c>
      <c r="U8" s="262"/>
      <c r="V8" s="261">
        <v>529</v>
      </c>
      <c r="W8" s="262"/>
      <c r="X8" s="263">
        <v>531</v>
      </c>
      <c r="Y8" s="264"/>
      <c r="Z8" s="263">
        <v>536</v>
      </c>
      <c r="AA8" s="264"/>
      <c r="AB8" s="263">
        <v>525</v>
      </c>
      <c r="AC8" s="264"/>
      <c r="AD8" s="263">
        <v>588</v>
      </c>
      <c r="AE8" s="264"/>
      <c r="AF8" s="263">
        <v>646</v>
      </c>
      <c r="AG8" s="264"/>
      <c r="AH8" s="263">
        <v>695</v>
      </c>
      <c r="AI8" s="264"/>
      <c r="AJ8" s="263">
        <v>739</v>
      </c>
      <c r="AK8" s="265"/>
      <c r="AL8" s="266">
        <v>771</v>
      </c>
      <c r="AM8" s="267"/>
      <c r="AN8" s="266">
        <v>740</v>
      </c>
      <c r="AO8" s="267"/>
      <c r="AP8" s="291">
        <v>731</v>
      </c>
      <c r="AQ8" s="292"/>
      <c r="AR8" s="291">
        <v>732</v>
      </c>
      <c r="AS8" s="292"/>
      <c r="AT8" s="362">
        <v>722</v>
      </c>
      <c r="AU8" s="353"/>
      <c r="AV8" s="362">
        <v>698</v>
      </c>
      <c r="AW8" s="353"/>
      <c r="AX8" s="362">
        <v>787</v>
      </c>
      <c r="AY8" s="458">
        <f>+AX8/AX9</f>
        <v>0.59306706857573477</v>
      </c>
      <c r="AZ8" s="352">
        <v>769</v>
      </c>
      <c r="BA8" s="458">
        <f>+AZ8/AZ9</f>
        <v>0.58081570996978849</v>
      </c>
      <c r="BB8" s="352">
        <v>741</v>
      </c>
      <c r="BC8" s="458">
        <f>+BB8/BB9</f>
        <v>0.57710280373831779</v>
      </c>
      <c r="BD8" s="293">
        <v>811</v>
      </c>
      <c r="BE8" s="464">
        <f>+BD8/BD9</f>
        <v>0.55320600272851295</v>
      </c>
    </row>
    <row r="9" spans="2:58" x14ac:dyDescent="0.25">
      <c r="B9" s="111"/>
      <c r="C9" s="475" t="s">
        <v>12</v>
      </c>
      <c r="D9" s="472">
        <v>726</v>
      </c>
      <c r="E9" s="249"/>
      <c r="F9" s="248">
        <v>680</v>
      </c>
      <c r="G9" s="249"/>
      <c r="H9" s="250">
        <v>642</v>
      </c>
      <c r="I9" s="251"/>
      <c r="J9" s="250">
        <f>J8+J7</f>
        <v>689</v>
      </c>
      <c r="K9" s="251"/>
      <c r="L9" s="250">
        <f>L8+L7</f>
        <v>886</v>
      </c>
      <c r="M9" s="251"/>
      <c r="N9" s="250">
        <v>935</v>
      </c>
      <c r="O9" s="251"/>
      <c r="P9" s="250">
        <v>877</v>
      </c>
      <c r="Q9" s="251"/>
      <c r="R9" s="250">
        <v>939</v>
      </c>
      <c r="S9" s="251"/>
      <c r="T9" s="250">
        <v>945</v>
      </c>
      <c r="U9" s="251"/>
      <c r="V9" s="250">
        <v>908</v>
      </c>
      <c r="W9" s="251"/>
      <c r="X9" s="252">
        <v>947</v>
      </c>
      <c r="Y9" s="253"/>
      <c r="Z9" s="252">
        <v>981</v>
      </c>
      <c r="AA9" s="253"/>
      <c r="AB9" s="252">
        <f>AB8+AB7</f>
        <v>952</v>
      </c>
      <c r="AC9" s="253"/>
      <c r="AD9" s="252">
        <f>AD8+AD7</f>
        <v>1028</v>
      </c>
      <c r="AE9" s="253"/>
      <c r="AF9" s="252">
        <v>1143</v>
      </c>
      <c r="AG9" s="253"/>
      <c r="AH9" s="252">
        <v>1199</v>
      </c>
      <c r="AI9" s="253"/>
      <c r="AJ9" s="252">
        <v>1275</v>
      </c>
      <c r="AK9" s="254"/>
      <c r="AL9" s="255">
        <v>1250</v>
      </c>
      <c r="AM9" s="256"/>
      <c r="AN9" s="255">
        <v>1246</v>
      </c>
      <c r="AO9" s="256"/>
      <c r="AP9" s="287">
        <v>1228</v>
      </c>
      <c r="AQ9" s="288"/>
      <c r="AR9" s="291">
        <v>1239</v>
      </c>
      <c r="AS9" s="292"/>
      <c r="AT9" s="362">
        <v>1140</v>
      </c>
      <c r="AU9" s="353"/>
      <c r="AV9" s="362">
        <f>AV8+AV7</f>
        <v>1185</v>
      </c>
      <c r="AW9" s="353"/>
      <c r="AX9" s="362">
        <f>AX8+AX7</f>
        <v>1327</v>
      </c>
      <c r="AY9" s="458"/>
      <c r="AZ9" s="350">
        <f>AZ8+AZ7</f>
        <v>1324</v>
      </c>
      <c r="BA9" s="349"/>
      <c r="BB9" s="350">
        <f>BB8+BB7</f>
        <v>1284</v>
      </c>
      <c r="BC9" s="349"/>
      <c r="BD9" s="296">
        <f>BD8+BD7</f>
        <v>1466</v>
      </c>
      <c r="BE9" s="290"/>
    </row>
    <row r="10" spans="2:58" x14ac:dyDescent="0.25">
      <c r="B10" s="271"/>
      <c r="C10" s="272"/>
      <c r="D10" s="274"/>
      <c r="E10" s="273"/>
      <c r="F10" s="274"/>
      <c r="G10" s="273"/>
      <c r="H10" s="274"/>
      <c r="I10" s="273"/>
      <c r="J10" s="274"/>
      <c r="K10" s="273"/>
      <c r="L10" s="274"/>
      <c r="M10" s="273"/>
      <c r="N10" s="274"/>
      <c r="O10" s="273"/>
      <c r="P10" s="274"/>
      <c r="Q10" s="273"/>
      <c r="R10" s="274"/>
      <c r="S10" s="273"/>
      <c r="T10" s="274"/>
      <c r="U10" s="273"/>
      <c r="V10" s="274"/>
      <c r="W10" s="273"/>
      <c r="X10" s="274"/>
      <c r="Y10" s="273"/>
      <c r="Z10" s="274"/>
      <c r="AA10" s="273"/>
      <c r="AB10" s="274"/>
      <c r="AC10" s="273"/>
      <c r="AD10" s="274"/>
      <c r="AE10" s="273"/>
      <c r="AF10" s="274"/>
      <c r="AG10" s="273"/>
      <c r="AH10" s="274"/>
      <c r="AI10" s="273"/>
      <c r="AJ10" s="274"/>
      <c r="AK10" s="273"/>
      <c r="AL10" s="274"/>
      <c r="AM10" s="273"/>
      <c r="AN10" s="274"/>
      <c r="AO10" s="273"/>
      <c r="AP10" s="274"/>
      <c r="AQ10" s="273"/>
      <c r="AR10" s="274"/>
      <c r="AS10" s="273"/>
      <c r="AT10" s="286"/>
      <c r="AU10" s="286"/>
      <c r="AV10" s="286"/>
      <c r="AW10" s="286"/>
      <c r="AX10" s="286"/>
      <c r="AY10" s="459"/>
      <c r="AZ10" s="286"/>
      <c r="BA10" s="286"/>
      <c r="BB10" s="286"/>
      <c r="BC10" s="286"/>
      <c r="BD10" s="286"/>
      <c r="BE10" s="286"/>
    </row>
    <row r="11" spans="2:58" x14ac:dyDescent="0.25">
      <c r="B11" s="529" t="s">
        <v>3</v>
      </c>
      <c r="C11" s="530"/>
      <c r="D11" s="480"/>
      <c r="E11" s="276"/>
      <c r="F11" s="275"/>
      <c r="G11" s="276"/>
      <c r="H11" s="277"/>
      <c r="I11" s="278"/>
      <c r="J11" s="277"/>
      <c r="K11" s="278"/>
      <c r="L11" s="277"/>
      <c r="M11" s="278"/>
      <c r="N11" s="277"/>
      <c r="O11" s="278"/>
      <c r="P11" s="277"/>
      <c r="Q11" s="278"/>
      <c r="R11" s="277"/>
      <c r="S11" s="278"/>
      <c r="T11" s="277"/>
      <c r="U11" s="278"/>
      <c r="V11" s="277"/>
      <c r="W11" s="278"/>
      <c r="X11" s="279"/>
      <c r="Y11" s="280"/>
      <c r="Z11" s="279"/>
      <c r="AA11" s="280"/>
      <c r="AB11" s="279"/>
      <c r="AC11" s="280"/>
      <c r="AD11" s="279"/>
      <c r="AE11" s="280"/>
      <c r="AF11" s="279"/>
      <c r="AG11" s="280"/>
      <c r="AH11" s="279"/>
      <c r="AI11" s="280"/>
      <c r="AJ11" s="279"/>
      <c r="AK11" s="281"/>
      <c r="AL11" s="282"/>
      <c r="AM11" s="283"/>
      <c r="AN11" s="282"/>
      <c r="AO11" s="283"/>
      <c r="AP11" s="284"/>
      <c r="AQ11" s="285"/>
      <c r="AR11" s="245"/>
      <c r="AS11" s="285"/>
      <c r="AT11" s="245"/>
      <c r="AU11" s="246"/>
      <c r="AV11" s="245"/>
      <c r="AW11" s="285"/>
      <c r="AX11" s="245"/>
      <c r="AY11" s="460"/>
      <c r="AZ11" s="351"/>
      <c r="BA11" s="285"/>
      <c r="BB11" s="351"/>
      <c r="BC11" s="285"/>
      <c r="BD11" s="444"/>
      <c r="BE11" s="445"/>
    </row>
    <row r="12" spans="2:58" x14ac:dyDescent="0.25">
      <c r="B12" s="111"/>
      <c r="C12" s="475" t="s">
        <v>13</v>
      </c>
      <c r="D12" s="478">
        <v>92</v>
      </c>
      <c r="E12" s="249">
        <f>D12/D7</f>
        <v>0.28660436137071649</v>
      </c>
      <c r="F12" s="257">
        <v>81</v>
      </c>
      <c r="G12" s="249">
        <f>F12/F7</f>
        <v>0.28621908127208479</v>
      </c>
      <c r="H12" s="250">
        <v>101</v>
      </c>
      <c r="I12" s="251">
        <f>H12/H7</f>
        <v>0.43913043478260871</v>
      </c>
      <c r="J12" s="250">
        <v>98</v>
      </c>
      <c r="K12" s="251">
        <f>J12/J7</f>
        <v>0.33108108108108109</v>
      </c>
      <c r="L12" s="250">
        <v>133</v>
      </c>
      <c r="M12" s="251">
        <f>L12/L7</f>
        <v>0.35849056603773582</v>
      </c>
      <c r="N12" s="250">
        <v>139</v>
      </c>
      <c r="O12" s="251">
        <f>N12/N7</f>
        <v>0.34663341645885287</v>
      </c>
      <c r="P12" s="250">
        <v>149</v>
      </c>
      <c r="Q12" s="251">
        <f>P12/P7</f>
        <v>0.43823529411764706</v>
      </c>
      <c r="R12" s="250">
        <v>163</v>
      </c>
      <c r="S12" s="251">
        <f>R12/R7</f>
        <v>0.4137055837563452</v>
      </c>
      <c r="T12" s="250">
        <v>135</v>
      </c>
      <c r="U12" s="251">
        <f>T12/T7</f>
        <v>0.33498759305210918</v>
      </c>
      <c r="V12" s="250">
        <v>121</v>
      </c>
      <c r="W12" s="251">
        <f>V12/V7</f>
        <v>0.31926121372031663</v>
      </c>
      <c r="X12" s="252">
        <v>142</v>
      </c>
      <c r="Y12" s="253">
        <f>X12/X7</f>
        <v>0.34134615384615385</v>
      </c>
      <c r="Z12" s="252">
        <v>148</v>
      </c>
      <c r="AA12" s="253">
        <f>Z12/Z7</f>
        <v>0.33258426966292137</v>
      </c>
      <c r="AB12" s="252">
        <v>146</v>
      </c>
      <c r="AC12" s="253">
        <f>AB12/AB7</f>
        <v>0.34192037470725994</v>
      </c>
      <c r="AD12" s="252">
        <v>171</v>
      </c>
      <c r="AE12" s="253">
        <f>AD12/AD7</f>
        <v>0.38863636363636361</v>
      </c>
      <c r="AF12" s="252">
        <v>172</v>
      </c>
      <c r="AG12" s="253">
        <v>0.34677419354838712</v>
      </c>
      <c r="AH12" s="252">
        <v>151</v>
      </c>
      <c r="AI12" s="253">
        <v>0.29960317460317459</v>
      </c>
      <c r="AJ12" s="252">
        <v>169</v>
      </c>
      <c r="AK12" s="254">
        <v>0.31588785046728973</v>
      </c>
      <c r="AL12" s="255">
        <v>176</v>
      </c>
      <c r="AM12" s="256">
        <v>0.3682008368200837</v>
      </c>
      <c r="AN12" s="255">
        <v>216</v>
      </c>
      <c r="AO12" s="256">
        <v>0.4268774703557312</v>
      </c>
      <c r="AP12" s="294">
        <v>198</v>
      </c>
      <c r="AQ12" s="288">
        <v>0.39839034205231388</v>
      </c>
      <c r="AR12" s="294">
        <v>204</v>
      </c>
      <c r="AS12" s="288">
        <v>0.40236686390532544</v>
      </c>
      <c r="AT12" s="350">
        <v>167</v>
      </c>
      <c r="AU12" s="349">
        <f>AT12/AT7</f>
        <v>0.39952153110047844</v>
      </c>
      <c r="AV12" s="350">
        <v>194</v>
      </c>
      <c r="AW12" s="349">
        <f>AV12/AV7</f>
        <v>0.39835728952772076</v>
      </c>
      <c r="AX12" s="350">
        <v>213</v>
      </c>
      <c r="AY12" s="457">
        <f>AX12/AX7</f>
        <v>0.39444444444444443</v>
      </c>
      <c r="AZ12" s="348">
        <v>222</v>
      </c>
      <c r="BA12" s="457">
        <f>AZ12/AZ7</f>
        <v>0.4</v>
      </c>
      <c r="BB12" s="348">
        <v>217</v>
      </c>
      <c r="BC12" s="457">
        <f>BB12/BB7</f>
        <v>0.39963167587476978</v>
      </c>
      <c r="BD12" s="289">
        <v>231</v>
      </c>
      <c r="BE12" s="463">
        <f>BD12/BD7</f>
        <v>0.35267175572519083</v>
      </c>
    </row>
    <row r="13" spans="2:58" x14ac:dyDescent="0.25">
      <c r="B13" s="258"/>
      <c r="C13" s="476" t="s">
        <v>14</v>
      </c>
      <c r="D13" s="479">
        <v>204</v>
      </c>
      <c r="E13" s="260">
        <f>D13/D8</f>
        <v>0.50370370370370365</v>
      </c>
      <c r="F13" s="259">
        <v>182</v>
      </c>
      <c r="G13" s="260">
        <f>F13/F8</f>
        <v>0.45843828715365237</v>
      </c>
      <c r="H13" s="261">
        <v>221</v>
      </c>
      <c r="I13" s="262">
        <f>H13/H8</f>
        <v>0.53640776699029125</v>
      </c>
      <c r="J13" s="261">
        <v>213</v>
      </c>
      <c r="K13" s="262">
        <f>J13/J8</f>
        <v>0.5419847328244275</v>
      </c>
      <c r="L13" s="261">
        <v>285</v>
      </c>
      <c r="M13" s="262">
        <f>L13/L8</f>
        <v>0.55339805825242716</v>
      </c>
      <c r="N13" s="261">
        <v>299</v>
      </c>
      <c r="O13" s="262">
        <f>N13/N8</f>
        <v>0.55992509363295884</v>
      </c>
      <c r="P13" s="261">
        <v>309</v>
      </c>
      <c r="Q13" s="262">
        <f>P13/P8</f>
        <v>0.57541899441340782</v>
      </c>
      <c r="R13" s="261">
        <v>325</v>
      </c>
      <c r="S13" s="262">
        <f>R13/R8</f>
        <v>0.59523809523809523</v>
      </c>
      <c r="T13" s="261">
        <v>294</v>
      </c>
      <c r="U13" s="262">
        <f>T13/T8</f>
        <v>0.54243542435424352</v>
      </c>
      <c r="V13" s="261">
        <v>296</v>
      </c>
      <c r="W13" s="262">
        <f>V13/V8</f>
        <v>0.55954631379962194</v>
      </c>
      <c r="X13" s="263">
        <v>291</v>
      </c>
      <c r="Y13" s="264">
        <f>X13/X8</f>
        <v>0.54802259887005644</v>
      </c>
      <c r="Z13" s="263">
        <v>309</v>
      </c>
      <c r="AA13" s="264">
        <f>Z13/Z8</f>
        <v>0.57649253731343286</v>
      </c>
      <c r="AB13" s="263">
        <v>296</v>
      </c>
      <c r="AC13" s="264">
        <f>AB13/AB8</f>
        <v>0.56380952380952376</v>
      </c>
      <c r="AD13" s="263">
        <v>331</v>
      </c>
      <c r="AE13" s="264">
        <f>AD13/AD8</f>
        <v>0.56292517006802723</v>
      </c>
      <c r="AF13" s="263">
        <v>361</v>
      </c>
      <c r="AG13" s="264">
        <v>0.55882352941176472</v>
      </c>
      <c r="AH13" s="263">
        <v>382</v>
      </c>
      <c r="AI13" s="264">
        <v>0.55043227665706052</v>
      </c>
      <c r="AJ13" s="263">
        <v>408</v>
      </c>
      <c r="AK13" s="265">
        <v>0.55284552845528456</v>
      </c>
      <c r="AL13" s="266">
        <v>419</v>
      </c>
      <c r="AM13" s="267">
        <v>0.54415584415584417</v>
      </c>
      <c r="AN13" s="266">
        <v>393</v>
      </c>
      <c r="AO13" s="267">
        <v>0.5310810810810811</v>
      </c>
      <c r="AP13" s="295">
        <v>410</v>
      </c>
      <c r="AQ13" s="292">
        <v>0.560875512995896</v>
      </c>
      <c r="AR13" s="295">
        <v>435</v>
      </c>
      <c r="AS13" s="292">
        <v>0.59426229508196726</v>
      </c>
      <c r="AT13" s="362">
        <v>398</v>
      </c>
      <c r="AU13" s="353">
        <f>AT13/AT8</f>
        <v>0.55124653739612184</v>
      </c>
      <c r="AV13" s="362">
        <v>397</v>
      </c>
      <c r="AW13" s="353">
        <f>AV13/AV8</f>
        <v>0.56876790830945556</v>
      </c>
      <c r="AX13" s="362">
        <v>453</v>
      </c>
      <c r="AY13" s="458">
        <f>AX13/AX8</f>
        <v>0.57560355781448536</v>
      </c>
      <c r="AZ13" s="352">
        <v>425</v>
      </c>
      <c r="BA13" s="458">
        <f>AZ13/AZ8</f>
        <v>0.55266579973992203</v>
      </c>
      <c r="BB13" s="352">
        <v>435</v>
      </c>
      <c r="BC13" s="458">
        <f>BB13/BB8</f>
        <v>0.58704453441295545</v>
      </c>
      <c r="BD13" s="293">
        <v>427</v>
      </c>
      <c r="BE13" s="464">
        <f>BD13/BD8</f>
        <v>0.52651048088779284</v>
      </c>
    </row>
    <row r="14" spans="2:58" x14ac:dyDescent="0.25">
      <c r="B14" s="258"/>
      <c r="C14" s="476" t="s">
        <v>12</v>
      </c>
      <c r="D14" s="479">
        <v>296</v>
      </c>
      <c r="E14" s="260">
        <f>D14/D9</f>
        <v>0.40771349862258954</v>
      </c>
      <c r="F14" s="259">
        <v>263</v>
      </c>
      <c r="G14" s="260">
        <f>F14/F9</f>
        <v>0.38676470588235295</v>
      </c>
      <c r="H14" s="261">
        <f>H12+H13</f>
        <v>322</v>
      </c>
      <c r="I14" s="262">
        <f>H14/H9</f>
        <v>0.50155763239875384</v>
      </c>
      <c r="J14" s="261">
        <f>J13+J12</f>
        <v>311</v>
      </c>
      <c r="K14" s="262">
        <f>J14/J9</f>
        <v>0.4513788098693759</v>
      </c>
      <c r="L14" s="261">
        <f>L13+L12</f>
        <v>418</v>
      </c>
      <c r="M14" s="262">
        <f>L14/L9</f>
        <v>0.47178329571106092</v>
      </c>
      <c r="N14" s="261">
        <f>N13+N12</f>
        <v>438</v>
      </c>
      <c r="O14" s="262">
        <f>N14/N9</f>
        <v>0.46844919786096256</v>
      </c>
      <c r="P14" s="261">
        <f>P13+P12</f>
        <v>458</v>
      </c>
      <c r="Q14" s="262">
        <f>P14/P9</f>
        <v>0.52223489167616877</v>
      </c>
      <c r="R14" s="261">
        <f>R12+R13</f>
        <v>488</v>
      </c>
      <c r="S14" s="262">
        <f>R14/R9</f>
        <v>0.51970181043663477</v>
      </c>
      <c r="T14" s="261">
        <v>429</v>
      </c>
      <c r="U14" s="262">
        <f>T14/T9</f>
        <v>0.45396825396825397</v>
      </c>
      <c r="V14" s="261">
        <f>V12+V13</f>
        <v>417</v>
      </c>
      <c r="W14" s="262">
        <f>V14/V9</f>
        <v>0.45925110132158592</v>
      </c>
      <c r="X14" s="263">
        <v>433</v>
      </c>
      <c r="Y14" s="264">
        <f>X14/X9</f>
        <v>0.45723336853220697</v>
      </c>
      <c r="Z14" s="263">
        <v>433</v>
      </c>
      <c r="AA14" s="264">
        <f>Z14/Z9</f>
        <v>0.44138634046890929</v>
      </c>
      <c r="AB14" s="263">
        <f>AB12+AB13</f>
        <v>442</v>
      </c>
      <c r="AC14" s="264">
        <f>AB14/AB9</f>
        <v>0.4642857142857143</v>
      </c>
      <c r="AD14" s="263">
        <f>AD12+AD13</f>
        <v>502</v>
      </c>
      <c r="AE14" s="264">
        <f>AD14/AD9</f>
        <v>0.48832684824902722</v>
      </c>
      <c r="AF14" s="263">
        <v>533</v>
      </c>
      <c r="AG14" s="264">
        <v>0.46672504378283713</v>
      </c>
      <c r="AH14" s="263">
        <v>533</v>
      </c>
      <c r="AI14" s="264">
        <v>0.44490818030050083</v>
      </c>
      <c r="AJ14" s="263">
        <v>577</v>
      </c>
      <c r="AK14" s="265">
        <v>0.45326001571091906</v>
      </c>
      <c r="AL14" s="266">
        <v>595</v>
      </c>
      <c r="AM14" s="267">
        <v>0.47676282051282054</v>
      </c>
      <c r="AN14" s="266">
        <v>609</v>
      </c>
      <c r="AO14" s="267">
        <v>0.4887640449438202</v>
      </c>
      <c r="AP14" s="295">
        <v>608</v>
      </c>
      <c r="AQ14" s="292">
        <v>0.49511400651465798</v>
      </c>
      <c r="AR14" s="295">
        <v>639</v>
      </c>
      <c r="AS14" s="292">
        <v>0.5157384987893463</v>
      </c>
      <c r="AT14" s="362">
        <f>AT12+AT13</f>
        <v>565</v>
      </c>
      <c r="AU14" s="353">
        <f>AT14/AT9</f>
        <v>0.49561403508771928</v>
      </c>
      <c r="AV14" s="362">
        <f>AV12+AV13</f>
        <v>591</v>
      </c>
      <c r="AW14" s="353">
        <f>AV14/AV9</f>
        <v>0.49873417721518987</v>
      </c>
      <c r="AX14" s="362">
        <f>AX12+AX13</f>
        <v>666</v>
      </c>
      <c r="AY14" s="458">
        <f>AX14/AX9</f>
        <v>0.50188394875659381</v>
      </c>
      <c r="AZ14" s="352">
        <f>AZ12+AZ13</f>
        <v>647</v>
      </c>
      <c r="BA14" s="458">
        <f>AZ14/AZ9</f>
        <v>0.48867069486404835</v>
      </c>
      <c r="BB14" s="352">
        <f>BB12+BB13</f>
        <v>652</v>
      </c>
      <c r="BC14" s="458">
        <f>BB14/BB9</f>
        <v>0.50778816199376942</v>
      </c>
      <c r="BD14" s="293">
        <f>BD12+BD13</f>
        <v>658</v>
      </c>
      <c r="BE14" s="464">
        <f>BD14/BD9</f>
        <v>0.44884038199181447</v>
      </c>
    </row>
    <row r="15" spans="2:58" ht="9" customHeight="1" x14ac:dyDescent="0.25">
      <c r="B15" s="268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461"/>
      <c r="AZ15" s="269"/>
      <c r="BA15" s="461"/>
      <c r="BB15" s="269"/>
      <c r="BC15" s="461"/>
      <c r="BD15" s="269"/>
      <c r="BE15" s="461"/>
    </row>
    <row r="16" spans="2:58" x14ac:dyDescent="0.25">
      <c r="B16" s="529" t="s">
        <v>5</v>
      </c>
      <c r="C16" s="530"/>
      <c r="D16" s="474"/>
      <c r="E16" s="92"/>
      <c r="F16" s="91"/>
      <c r="G16" s="92"/>
      <c r="H16" s="93"/>
      <c r="I16" s="94"/>
      <c r="J16" s="93"/>
      <c r="K16" s="94"/>
      <c r="L16" s="93"/>
      <c r="M16" s="94"/>
      <c r="N16" s="93"/>
      <c r="O16" s="94"/>
      <c r="P16" s="93"/>
      <c r="Q16" s="94"/>
      <c r="R16" s="93"/>
      <c r="S16" s="94"/>
      <c r="T16" s="93"/>
      <c r="U16" s="94"/>
      <c r="V16" s="93"/>
      <c r="W16" s="94"/>
      <c r="X16" s="95"/>
      <c r="Y16" s="96"/>
      <c r="Z16" s="95"/>
      <c r="AA16" s="96"/>
      <c r="AB16" s="95"/>
      <c r="AC16" s="96"/>
      <c r="AD16" s="95"/>
      <c r="AE16" s="96"/>
      <c r="AF16" s="95"/>
      <c r="AG16" s="96"/>
      <c r="AH16" s="95"/>
      <c r="AI16" s="96"/>
      <c r="AJ16" s="95"/>
      <c r="AK16" s="109"/>
      <c r="AL16" s="97"/>
      <c r="AM16" s="110"/>
      <c r="AN16" s="97"/>
      <c r="AO16" s="110"/>
      <c r="AP16" s="245"/>
      <c r="AQ16" s="246"/>
      <c r="AR16" s="245"/>
      <c r="AS16" s="246"/>
      <c r="AT16" s="245"/>
      <c r="AU16" s="246"/>
      <c r="AV16" s="245"/>
      <c r="AW16" s="246"/>
      <c r="AX16" s="245"/>
      <c r="AY16" s="462"/>
      <c r="AZ16" s="247"/>
      <c r="BA16" s="462"/>
      <c r="BB16" s="247"/>
      <c r="BC16" s="462"/>
      <c r="BD16" s="443"/>
      <c r="BE16" s="465"/>
    </row>
    <row r="17" spans="2:58" x14ac:dyDescent="0.25">
      <c r="B17" s="111"/>
      <c r="C17" s="475" t="s">
        <v>13</v>
      </c>
      <c r="D17" s="478">
        <v>148</v>
      </c>
      <c r="E17" s="249">
        <f>D17/D7</f>
        <v>0.46105919003115264</v>
      </c>
      <c r="F17" s="257">
        <v>130</v>
      </c>
      <c r="G17" s="249">
        <f>F17/F7</f>
        <v>0.45936395759717313</v>
      </c>
      <c r="H17" s="250">
        <v>145</v>
      </c>
      <c r="I17" s="251">
        <f>H17/H7</f>
        <v>0.63043478260869568</v>
      </c>
      <c r="J17" s="250">
        <v>171</v>
      </c>
      <c r="K17" s="251">
        <f>J17/J7</f>
        <v>0.57770270270270274</v>
      </c>
      <c r="L17" s="250">
        <v>214</v>
      </c>
      <c r="M17" s="251">
        <f>L17/L7</f>
        <v>0.5768194070080862</v>
      </c>
      <c r="N17" s="250">
        <v>232</v>
      </c>
      <c r="O17" s="251">
        <f>N17/N7</f>
        <v>0.5785536159600998</v>
      </c>
      <c r="P17" s="250">
        <v>214</v>
      </c>
      <c r="Q17" s="251">
        <f>P17/P7</f>
        <v>0.62941176470588234</v>
      </c>
      <c r="R17" s="250">
        <v>239</v>
      </c>
      <c r="S17" s="251">
        <f>R17/R7</f>
        <v>0.60659898477157359</v>
      </c>
      <c r="T17" s="250">
        <v>227</v>
      </c>
      <c r="U17" s="251">
        <f>T17/T7</f>
        <v>0.56327543424317617</v>
      </c>
      <c r="V17" s="250">
        <v>197</v>
      </c>
      <c r="W17" s="251">
        <f>V17/V7</f>
        <v>0.51978891820580475</v>
      </c>
      <c r="X17" s="252">
        <v>225</v>
      </c>
      <c r="Y17" s="253">
        <f>X17/X7</f>
        <v>0.54086538461538458</v>
      </c>
      <c r="Z17" s="252">
        <v>264</v>
      </c>
      <c r="AA17" s="253">
        <f>Z17/Z7</f>
        <v>0.59325842696629216</v>
      </c>
      <c r="AB17" s="252">
        <v>237</v>
      </c>
      <c r="AC17" s="253">
        <f>AB17/AB7</f>
        <v>0.55503512880562056</v>
      </c>
      <c r="AD17" s="252">
        <v>254</v>
      </c>
      <c r="AE17" s="253">
        <f>AD17/AD7</f>
        <v>0.57727272727272727</v>
      </c>
      <c r="AF17" s="252">
        <v>275</v>
      </c>
      <c r="AG17" s="253">
        <v>0.55443548387096775</v>
      </c>
      <c r="AH17" s="252">
        <v>264</v>
      </c>
      <c r="AI17" s="253">
        <v>0.52380952380952384</v>
      </c>
      <c r="AJ17" s="252">
        <v>292</v>
      </c>
      <c r="AK17" s="254">
        <v>0.54579439252336448</v>
      </c>
      <c r="AL17" s="255">
        <v>281</v>
      </c>
      <c r="AM17" s="256">
        <v>0.58786610878661083</v>
      </c>
      <c r="AN17" s="255">
        <v>326</v>
      </c>
      <c r="AO17" s="256">
        <v>0.64426877470355737</v>
      </c>
      <c r="AP17" s="287">
        <v>294</v>
      </c>
      <c r="AQ17" s="288">
        <v>0.59154929577464788</v>
      </c>
      <c r="AR17" s="287">
        <f>204+105</f>
        <v>309</v>
      </c>
      <c r="AS17" s="288">
        <v>0.60946745562130178</v>
      </c>
      <c r="AT17" s="350">
        <f>AT12+85</f>
        <v>252</v>
      </c>
      <c r="AU17" s="349">
        <f>AT17/AT7</f>
        <v>0.60287081339712922</v>
      </c>
      <c r="AV17" s="350">
        <f>194+108</f>
        <v>302</v>
      </c>
      <c r="AW17" s="349">
        <f>AV17/AV7</f>
        <v>0.62012320328542092</v>
      </c>
      <c r="AX17" s="350">
        <v>326</v>
      </c>
      <c r="AY17" s="457">
        <f>AX17/AX7</f>
        <v>0.60370370370370374</v>
      </c>
      <c r="AZ17" s="348">
        <v>340</v>
      </c>
      <c r="BA17" s="457">
        <f>AZ17/AZ7</f>
        <v>0.61261261261261257</v>
      </c>
      <c r="BB17" s="348">
        <v>319</v>
      </c>
      <c r="BC17" s="457">
        <f>BB17/BB7</f>
        <v>0.58747697974217317</v>
      </c>
      <c r="BD17" s="289">
        <v>356</v>
      </c>
      <c r="BE17" s="463">
        <f>BD17/BD7</f>
        <v>0.54351145038167936</v>
      </c>
    </row>
    <row r="18" spans="2:58" x14ac:dyDescent="0.25">
      <c r="B18" s="258"/>
      <c r="C18" s="476" t="s">
        <v>14</v>
      </c>
      <c r="D18" s="479">
        <v>257</v>
      </c>
      <c r="E18" s="260">
        <f>D18/D8</f>
        <v>0.63456790123456785</v>
      </c>
      <c r="F18" s="259">
        <v>223</v>
      </c>
      <c r="G18" s="260">
        <f>F18/F8</f>
        <v>0.5617128463476071</v>
      </c>
      <c r="H18" s="261">
        <v>275</v>
      </c>
      <c r="I18" s="262">
        <f>H18/H8</f>
        <v>0.66747572815533984</v>
      </c>
      <c r="J18" s="261">
        <v>265</v>
      </c>
      <c r="K18" s="262">
        <f>J18/J8</f>
        <v>0.67430025445292618</v>
      </c>
      <c r="L18" s="261">
        <v>363</v>
      </c>
      <c r="M18" s="262">
        <f>L18/L8</f>
        <v>0.70485436893203879</v>
      </c>
      <c r="N18" s="261">
        <v>373</v>
      </c>
      <c r="O18" s="262">
        <f>N18/N8</f>
        <v>0.69850187265917607</v>
      </c>
      <c r="P18" s="261">
        <v>378</v>
      </c>
      <c r="Q18" s="262">
        <f>P18/P8</f>
        <v>0.7039106145251397</v>
      </c>
      <c r="R18" s="261">
        <v>391</v>
      </c>
      <c r="S18" s="262">
        <f>R18/R8</f>
        <v>0.71611721611721613</v>
      </c>
      <c r="T18" s="261">
        <v>384</v>
      </c>
      <c r="U18" s="262">
        <f>T18/T8</f>
        <v>0.70848708487084866</v>
      </c>
      <c r="V18" s="261">
        <v>391</v>
      </c>
      <c r="W18" s="262">
        <f>V18/V8</f>
        <v>0.73913043478260865</v>
      </c>
      <c r="X18" s="263">
        <v>369</v>
      </c>
      <c r="Y18" s="264">
        <f>X18/X8</f>
        <v>0.69491525423728817</v>
      </c>
      <c r="Z18" s="263">
        <v>384</v>
      </c>
      <c r="AA18" s="264">
        <f>Z18/Z8</f>
        <v>0.71641791044776115</v>
      </c>
      <c r="AB18" s="263">
        <v>363</v>
      </c>
      <c r="AC18" s="264">
        <f>AB18/AB8</f>
        <v>0.69142857142857139</v>
      </c>
      <c r="AD18" s="263">
        <v>405</v>
      </c>
      <c r="AE18" s="264">
        <f>AD18/AD8</f>
        <v>0.68877551020408168</v>
      </c>
      <c r="AF18" s="263">
        <v>453</v>
      </c>
      <c r="AG18" s="264">
        <v>0.70123839009287925</v>
      </c>
      <c r="AH18" s="263">
        <v>498</v>
      </c>
      <c r="AI18" s="264">
        <v>0.71757925072046114</v>
      </c>
      <c r="AJ18" s="263">
        <v>535</v>
      </c>
      <c r="AK18" s="265">
        <v>0.72493224932249323</v>
      </c>
      <c r="AL18" s="266">
        <v>545</v>
      </c>
      <c r="AM18" s="267">
        <v>0.70779220779220775</v>
      </c>
      <c r="AN18" s="266">
        <v>524</v>
      </c>
      <c r="AO18" s="267">
        <v>0.70810810810810809</v>
      </c>
      <c r="AP18" s="291">
        <v>509</v>
      </c>
      <c r="AQ18" s="292">
        <v>0.69630642954856359</v>
      </c>
      <c r="AR18" s="291">
        <f>435+95</f>
        <v>530</v>
      </c>
      <c r="AS18" s="292">
        <v>0.72404371584699456</v>
      </c>
      <c r="AT18" s="362">
        <f>AT13+103</f>
        <v>501</v>
      </c>
      <c r="AU18" s="353">
        <f>AT18/AT8</f>
        <v>0.69390581717451527</v>
      </c>
      <c r="AV18" s="362">
        <f>397+120</f>
        <v>517</v>
      </c>
      <c r="AW18" s="353">
        <f>AV18/AV8</f>
        <v>0.74068767908309452</v>
      </c>
      <c r="AX18" s="362">
        <v>553</v>
      </c>
      <c r="AY18" s="458">
        <f>AX18/AX8</f>
        <v>0.70266836086404061</v>
      </c>
      <c r="AZ18" s="352">
        <v>525</v>
      </c>
      <c r="BA18" s="458">
        <f>AZ18/AZ8</f>
        <v>0.68270481144343298</v>
      </c>
      <c r="BB18" s="352">
        <v>520</v>
      </c>
      <c r="BC18" s="458">
        <f>BB18/BB8</f>
        <v>0.70175438596491224</v>
      </c>
      <c r="BD18" s="293">
        <v>509</v>
      </c>
      <c r="BE18" s="464">
        <f>BD18/BD8</f>
        <v>0.6276202219482121</v>
      </c>
    </row>
    <row r="19" spans="2:58" x14ac:dyDescent="0.25">
      <c r="B19" s="258"/>
      <c r="C19" s="476" t="s">
        <v>12</v>
      </c>
      <c r="D19" s="479">
        <v>405</v>
      </c>
      <c r="E19" s="260">
        <f>D19/D9</f>
        <v>0.55785123966942152</v>
      </c>
      <c r="F19" s="259">
        <v>353</v>
      </c>
      <c r="G19" s="260">
        <f>F19/F9</f>
        <v>0.51911764705882357</v>
      </c>
      <c r="H19" s="261">
        <f>H18+H17</f>
        <v>420</v>
      </c>
      <c r="I19" s="262">
        <f>H19/H9</f>
        <v>0.65420560747663548</v>
      </c>
      <c r="J19" s="261">
        <f>J18+J17</f>
        <v>436</v>
      </c>
      <c r="K19" s="262">
        <f>J19/J9</f>
        <v>0.63280116110304785</v>
      </c>
      <c r="L19" s="261">
        <f>L18+L17</f>
        <v>577</v>
      </c>
      <c r="M19" s="262">
        <f>L19/L9</f>
        <v>0.65124153498871329</v>
      </c>
      <c r="N19" s="261">
        <f>N18+N17</f>
        <v>605</v>
      </c>
      <c r="O19" s="262">
        <f>N19/N9</f>
        <v>0.6470588235294118</v>
      </c>
      <c r="P19" s="261">
        <f>P18+P17</f>
        <v>592</v>
      </c>
      <c r="Q19" s="262">
        <f>P19/P9</f>
        <v>0.67502850627137967</v>
      </c>
      <c r="R19" s="261">
        <f>R18+R17</f>
        <v>630</v>
      </c>
      <c r="S19" s="262">
        <f>R19/R9</f>
        <v>0.67092651757188504</v>
      </c>
      <c r="T19" s="261">
        <v>611</v>
      </c>
      <c r="U19" s="262">
        <f>T19/T9</f>
        <v>0.64656084656084656</v>
      </c>
      <c r="V19" s="261">
        <f>V17+V18</f>
        <v>588</v>
      </c>
      <c r="W19" s="262">
        <f>V19/V9</f>
        <v>0.64757709251101325</v>
      </c>
      <c r="X19" s="263">
        <v>594</v>
      </c>
      <c r="Y19" s="264">
        <f>X19/X9</f>
        <v>0.62724392819429775</v>
      </c>
      <c r="Z19" s="263">
        <v>594</v>
      </c>
      <c r="AA19" s="264">
        <f>Z19/Z9</f>
        <v>0.60550458715596334</v>
      </c>
      <c r="AB19" s="263">
        <f>AB17+AB18</f>
        <v>600</v>
      </c>
      <c r="AC19" s="264">
        <f>AB19/AB9</f>
        <v>0.63025210084033612</v>
      </c>
      <c r="AD19" s="263">
        <f>AD17+AD18</f>
        <v>659</v>
      </c>
      <c r="AE19" s="264">
        <f>AD19/AD9</f>
        <v>0.6410505836575876</v>
      </c>
      <c r="AF19" s="263">
        <v>728</v>
      </c>
      <c r="AG19" s="264">
        <v>0.63747810858143605</v>
      </c>
      <c r="AH19" s="263">
        <v>762</v>
      </c>
      <c r="AI19" s="264">
        <v>0.63606010016694492</v>
      </c>
      <c r="AJ19" s="263">
        <v>827</v>
      </c>
      <c r="AK19" s="265">
        <v>0.64964650432050275</v>
      </c>
      <c r="AL19" s="266">
        <v>826</v>
      </c>
      <c r="AM19" s="267">
        <v>0.66185897435897434</v>
      </c>
      <c r="AN19" s="266">
        <v>850</v>
      </c>
      <c r="AO19" s="267">
        <v>0.6821829855537721</v>
      </c>
      <c r="AP19" s="291">
        <v>803</v>
      </c>
      <c r="AQ19" s="292">
        <v>0.65390879478827357</v>
      </c>
      <c r="AR19" s="291">
        <f>639+200</f>
        <v>839</v>
      </c>
      <c r="AS19" s="292">
        <v>0.67715899919289746</v>
      </c>
      <c r="AT19" s="362">
        <f>AT18+AT17</f>
        <v>753</v>
      </c>
      <c r="AU19" s="353">
        <f>AT19/AT9</f>
        <v>0.66052631578947374</v>
      </c>
      <c r="AV19" s="362">
        <f>AV18+AV17</f>
        <v>819</v>
      </c>
      <c r="AW19" s="353">
        <f>AV19/AV9</f>
        <v>0.69113924050632913</v>
      </c>
      <c r="AX19" s="362">
        <f>AX18+AX17</f>
        <v>879</v>
      </c>
      <c r="AY19" s="458">
        <f>AX19/AX9</f>
        <v>0.66239638281838731</v>
      </c>
      <c r="AZ19" s="352">
        <f>AZ18+AZ17</f>
        <v>865</v>
      </c>
      <c r="BA19" s="458">
        <f>AZ19/AZ9</f>
        <v>0.65332326283987918</v>
      </c>
      <c r="BB19" s="352">
        <f>BB18+BB17</f>
        <v>839</v>
      </c>
      <c r="BC19" s="458">
        <f>BB19/BB9</f>
        <v>0.65342679127725856</v>
      </c>
      <c r="BD19" s="293">
        <f>BD18+BD17</f>
        <v>865</v>
      </c>
      <c r="BE19" s="464">
        <f>BD19/BD9</f>
        <v>0.59004092769440653</v>
      </c>
    </row>
    <row r="20" spans="2:58" ht="9" customHeight="1" x14ac:dyDescent="0.25">
      <c r="B20" s="268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461"/>
      <c r="AZ20" s="269"/>
      <c r="BA20" s="461"/>
      <c r="BB20" s="269"/>
      <c r="BC20" s="461"/>
      <c r="BD20" s="269"/>
      <c r="BE20" s="461"/>
    </row>
    <row r="21" spans="2:58" x14ac:dyDescent="0.25">
      <c r="B21" s="529" t="s">
        <v>7</v>
      </c>
      <c r="C21" s="530"/>
      <c r="D21" s="474"/>
      <c r="E21" s="92"/>
      <c r="F21" s="91"/>
      <c r="G21" s="92"/>
      <c r="H21" s="93"/>
      <c r="I21" s="94"/>
      <c r="J21" s="93"/>
      <c r="K21" s="94"/>
      <c r="L21" s="93"/>
      <c r="M21" s="94"/>
      <c r="N21" s="93"/>
      <c r="O21" s="94"/>
      <c r="P21" s="93"/>
      <c r="Q21" s="94"/>
      <c r="R21" s="93"/>
      <c r="S21" s="94"/>
      <c r="T21" s="93"/>
      <c r="U21" s="94"/>
      <c r="V21" s="93"/>
      <c r="W21" s="94"/>
      <c r="X21" s="95"/>
      <c r="Y21" s="96"/>
      <c r="Z21" s="95"/>
      <c r="AA21" s="96"/>
      <c r="AB21" s="95"/>
      <c r="AC21" s="96"/>
      <c r="AD21" s="95"/>
      <c r="AE21" s="96"/>
      <c r="AF21" s="95"/>
      <c r="AG21" s="96"/>
      <c r="AH21" s="95"/>
      <c r="AI21" s="96"/>
      <c r="AJ21" s="95"/>
      <c r="AK21" s="109"/>
      <c r="AL21" s="97"/>
      <c r="AM21" s="110"/>
      <c r="AN21" s="97"/>
      <c r="AO21" s="110"/>
      <c r="AP21" s="245"/>
      <c r="AQ21" s="246"/>
      <c r="AR21" s="245"/>
      <c r="AS21" s="246"/>
      <c r="AT21" s="245"/>
      <c r="AU21" s="246"/>
      <c r="AV21" s="245"/>
      <c r="AW21" s="246"/>
      <c r="AX21" s="245"/>
      <c r="AY21" s="462"/>
      <c r="AZ21" s="247"/>
      <c r="BA21" s="462"/>
      <c r="BB21" s="247"/>
      <c r="BC21" s="462"/>
      <c r="BD21" s="443"/>
      <c r="BE21" s="465"/>
    </row>
    <row r="22" spans="2:58" x14ac:dyDescent="0.25">
      <c r="B22" s="111"/>
      <c r="C22" s="475" t="s">
        <v>13</v>
      </c>
      <c r="D22" s="472">
        <v>174</v>
      </c>
      <c r="E22" s="249">
        <f>D22/D7</f>
        <v>0.54205607476635509</v>
      </c>
      <c r="F22" s="248">
        <v>176</v>
      </c>
      <c r="G22" s="249">
        <f>F22/F7</f>
        <v>0.62190812720848054</v>
      </c>
      <c r="H22" s="250">
        <v>151</v>
      </c>
      <c r="I22" s="251">
        <f>H22/H7</f>
        <v>0.65652173913043477</v>
      </c>
      <c r="J22" s="250">
        <v>183</v>
      </c>
      <c r="K22" s="251">
        <f>J22/J7</f>
        <v>0.6182432432432432</v>
      </c>
      <c r="L22" s="250">
        <v>230</v>
      </c>
      <c r="M22" s="251">
        <f>L22/L7</f>
        <v>0.61994609164420489</v>
      </c>
      <c r="N22" s="250">
        <v>247</v>
      </c>
      <c r="O22" s="251">
        <f>N22/N7</f>
        <v>0.61596009975062349</v>
      </c>
      <c r="P22" s="250">
        <v>220</v>
      </c>
      <c r="Q22" s="251">
        <f>P22/P7</f>
        <v>0.6470588235294118</v>
      </c>
      <c r="R22" s="250">
        <v>260</v>
      </c>
      <c r="S22" s="251">
        <f>R22/R7</f>
        <v>0.65989847715736039</v>
      </c>
      <c r="T22" s="250">
        <v>245</v>
      </c>
      <c r="U22" s="251">
        <f>T22/T7</f>
        <v>0.60794044665012403</v>
      </c>
      <c r="V22" s="250">
        <v>220</v>
      </c>
      <c r="W22" s="251">
        <f>V22/V7</f>
        <v>0.58047493403693928</v>
      </c>
      <c r="X22" s="252">
        <v>246</v>
      </c>
      <c r="Y22" s="253">
        <f>X22/X7</f>
        <v>0.59134615384615385</v>
      </c>
      <c r="Z22" s="252">
        <v>289</v>
      </c>
      <c r="AA22" s="253">
        <f>Z22/Z7</f>
        <v>0.64943820224719107</v>
      </c>
      <c r="AB22" s="252">
        <v>259</v>
      </c>
      <c r="AC22" s="253">
        <f>AB22/AB7</f>
        <v>0.60655737704918034</v>
      </c>
      <c r="AD22" s="252">
        <v>271</v>
      </c>
      <c r="AE22" s="253">
        <f>AD22/AD7</f>
        <v>0.61590909090909096</v>
      </c>
      <c r="AF22" s="252">
        <v>295</v>
      </c>
      <c r="AG22" s="253">
        <v>0.594758064516129</v>
      </c>
      <c r="AH22" s="252">
        <v>285</v>
      </c>
      <c r="AI22" s="253">
        <v>0.56547619047619047</v>
      </c>
      <c r="AJ22" s="252">
        <v>312</v>
      </c>
      <c r="AK22" s="254">
        <v>0.58317757009345794</v>
      </c>
      <c r="AL22" s="255">
        <v>294</v>
      </c>
      <c r="AM22" s="256">
        <v>0.61506276150627615</v>
      </c>
      <c r="AN22" s="255">
        <v>343</v>
      </c>
      <c r="AO22" s="256">
        <v>0.67786561264822132</v>
      </c>
      <c r="AP22" s="287">
        <v>314</v>
      </c>
      <c r="AQ22" s="288">
        <v>0.63179074446680084</v>
      </c>
      <c r="AR22" s="287">
        <v>326</v>
      </c>
      <c r="AS22" s="288">
        <v>0.64299802761341218</v>
      </c>
      <c r="AT22" s="350">
        <f>AT17+14</f>
        <v>266</v>
      </c>
      <c r="AU22" s="349">
        <f>AT22/AT7</f>
        <v>0.63636363636363635</v>
      </c>
      <c r="AV22" s="350">
        <v>320</v>
      </c>
      <c r="AW22" s="349">
        <f>AV22/AV7</f>
        <v>0.65708418891170428</v>
      </c>
      <c r="AX22" s="350">
        <v>345</v>
      </c>
      <c r="AY22" s="457">
        <f>AX22/AX7</f>
        <v>0.63888888888888884</v>
      </c>
      <c r="AZ22" s="348">
        <v>354</v>
      </c>
      <c r="BA22" s="457">
        <f>AZ22/AZ7</f>
        <v>0.63783783783783787</v>
      </c>
      <c r="BB22" s="348">
        <v>337</v>
      </c>
      <c r="BC22" s="457">
        <f>BB22/BB7</f>
        <v>0.62062615101289131</v>
      </c>
      <c r="BD22" s="289">
        <v>374</v>
      </c>
      <c r="BE22" s="463">
        <f>BD22/BD7</f>
        <v>0.57099236641221374</v>
      </c>
    </row>
    <row r="23" spans="2:58" x14ac:dyDescent="0.25">
      <c r="B23" s="258"/>
      <c r="C23" s="476" t="s">
        <v>14</v>
      </c>
      <c r="D23" s="473">
        <v>270</v>
      </c>
      <c r="E23" s="260">
        <f>D23/D8</f>
        <v>0.66666666666666663</v>
      </c>
      <c r="F23" s="270">
        <v>254</v>
      </c>
      <c r="G23" s="260">
        <f>F23/F8</f>
        <v>0.63979848866498745</v>
      </c>
      <c r="H23" s="261">
        <v>286</v>
      </c>
      <c r="I23" s="262">
        <f>H23/H8</f>
        <v>0.69417475728155342</v>
      </c>
      <c r="J23" s="261">
        <v>272</v>
      </c>
      <c r="K23" s="262">
        <f>J23/J8</f>
        <v>0.69211195928753177</v>
      </c>
      <c r="L23" s="261">
        <v>367</v>
      </c>
      <c r="M23" s="262">
        <f>L23/L8</f>
        <v>0.71262135922330094</v>
      </c>
      <c r="N23" s="261">
        <v>379</v>
      </c>
      <c r="O23" s="262">
        <f>N23/N8</f>
        <v>0.70973782771535576</v>
      </c>
      <c r="P23" s="261">
        <v>385</v>
      </c>
      <c r="Q23" s="262">
        <f>P23/P8</f>
        <v>0.71694599627560518</v>
      </c>
      <c r="R23" s="261">
        <v>396</v>
      </c>
      <c r="S23" s="262">
        <f>R23/R8</f>
        <v>0.72527472527472525</v>
      </c>
      <c r="T23" s="261">
        <v>397</v>
      </c>
      <c r="U23" s="262">
        <f>T23/T8</f>
        <v>0.73247232472324719</v>
      </c>
      <c r="V23" s="261">
        <v>406</v>
      </c>
      <c r="W23" s="262">
        <f>V23/V8</f>
        <v>0.76748582230623819</v>
      </c>
      <c r="X23" s="263">
        <v>380</v>
      </c>
      <c r="Y23" s="264">
        <f>X23/X8</f>
        <v>0.71563088512241058</v>
      </c>
      <c r="Z23" s="263">
        <v>397</v>
      </c>
      <c r="AA23" s="264">
        <f>Z23/Z8</f>
        <v>0.74067164179104472</v>
      </c>
      <c r="AB23" s="263">
        <v>377</v>
      </c>
      <c r="AC23" s="264">
        <f>AB23/AB8</f>
        <v>0.71809523809523812</v>
      </c>
      <c r="AD23" s="263">
        <v>422</v>
      </c>
      <c r="AE23" s="264">
        <f>AD23/AD8</f>
        <v>0.71768707482993199</v>
      </c>
      <c r="AF23" s="263">
        <v>468</v>
      </c>
      <c r="AG23" s="264">
        <v>0.72445820433436536</v>
      </c>
      <c r="AH23" s="263">
        <v>508</v>
      </c>
      <c r="AI23" s="264">
        <v>0.73198847262247835</v>
      </c>
      <c r="AJ23" s="263">
        <v>545</v>
      </c>
      <c r="AK23" s="265">
        <v>0.7384823848238482</v>
      </c>
      <c r="AL23" s="266">
        <v>562</v>
      </c>
      <c r="AM23" s="267">
        <v>0.72987012987012989</v>
      </c>
      <c r="AN23" s="266">
        <v>541</v>
      </c>
      <c r="AO23" s="267">
        <v>0.73108108108108105</v>
      </c>
      <c r="AP23" s="291">
        <v>527</v>
      </c>
      <c r="AQ23" s="292">
        <v>0.72093023255813948</v>
      </c>
      <c r="AR23" s="291">
        <v>545</v>
      </c>
      <c r="AS23" s="292">
        <v>0.74453551912568305</v>
      </c>
      <c r="AT23" s="362">
        <f>AT18+15</f>
        <v>516</v>
      </c>
      <c r="AU23" s="353">
        <f>AT23/AT8</f>
        <v>0.71468144044321325</v>
      </c>
      <c r="AV23" s="362">
        <v>536</v>
      </c>
      <c r="AW23" s="353">
        <f>AV23/AV8</f>
        <v>0.76790830945558741</v>
      </c>
      <c r="AX23" s="362">
        <v>565</v>
      </c>
      <c r="AY23" s="458">
        <f>AX23/AX8</f>
        <v>0.71791613722998726</v>
      </c>
      <c r="AZ23" s="352">
        <v>539</v>
      </c>
      <c r="BA23" s="458">
        <f>AZ23/AZ8</f>
        <v>0.70091027308192455</v>
      </c>
      <c r="BB23" s="352">
        <v>538</v>
      </c>
      <c r="BC23" s="458">
        <f>BB23/BB8</f>
        <v>0.72604588394062075</v>
      </c>
      <c r="BD23" s="293">
        <v>524</v>
      </c>
      <c r="BE23" s="464">
        <f>BD23/BD8</f>
        <v>0.64611590628853266</v>
      </c>
    </row>
    <row r="24" spans="2:58" x14ac:dyDescent="0.25">
      <c r="B24" s="258"/>
      <c r="C24" s="476" t="s">
        <v>12</v>
      </c>
      <c r="D24" s="473">
        <v>444</v>
      </c>
      <c r="E24" s="260">
        <f>D24/D9</f>
        <v>0.61157024793388426</v>
      </c>
      <c r="F24" s="270">
        <v>430</v>
      </c>
      <c r="G24" s="260">
        <f>F24/F9</f>
        <v>0.63235294117647056</v>
      </c>
      <c r="H24" s="261">
        <f>H23+H22</f>
        <v>437</v>
      </c>
      <c r="I24" s="262">
        <f>H24/H9</f>
        <v>0.68068535825545173</v>
      </c>
      <c r="J24" s="261">
        <f>J23+J22</f>
        <v>455</v>
      </c>
      <c r="K24" s="262">
        <f>J24/J9</f>
        <v>0.660377358490566</v>
      </c>
      <c r="L24" s="261">
        <f>L23+L22</f>
        <v>597</v>
      </c>
      <c r="M24" s="262">
        <f>L24/L9</f>
        <v>0.67381489841986453</v>
      </c>
      <c r="N24" s="261">
        <v>626</v>
      </c>
      <c r="O24" s="262">
        <f>N24/N9</f>
        <v>0.66951871657754014</v>
      </c>
      <c r="P24" s="261">
        <v>605</v>
      </c>
      <c r="Q24" s="262">
        <f>P24/P9</f>
        <v>0.68985176738882559</v>
      </c>
      <c r="R24" s="261">
        <v>656</v>
      </c>
      <c r="S24" s="262">
        <f>R24/R9</f>
        <v>0.69861554845580409</v>
      </c>
      <c r="T24" s="261">
        <v>642</v>
      </c>
      <c r="U24" s="262">
        <f>T24/T9</f>
        <v>0.67936507936507939</v>
      </c>
      <c r="V24" s="261">
        <f>V22+V23</f>
        <v>626</v>
      </c>
      <c r="W24" s="262">
        <f>V24/V9</f>
        <v>0.68942731277533043</v>
      </c>
      <c r="X24" s="263">
        <f>X22+X23</f>
        <v>626</v>
      </c>
      <c r="Y24" s="264">
        <f>X24/X9</f>
        <v>0.66103484688489966</v>
      </c>
      <c r="Z24" s="263">
        <f>Z22+Z23</f>
        <v>686</v>
      </c>
      <c r="AA24" s="264">
        <f>Z24/Z9</f>
        <v>0.69928644240570847</v>
      </c>
      <c r="AB24" s="263">
        <f>AB22+AB23</f>
        <v>636</v>
      </c>
      <c r="AC24" s="264">
        <f>AB24/AB9</f>
        <v>0.66806722689075626</v>
      </c>
      <c r="AD24" s="263">
        <f>AD22+AD23</f>
        <v>693</v>
      </c>
      <c r="AE24" s="264">
        <f>AD24/AD9</f>
        <v>0.67412451361867709</v>
      </c>
      <c r="AF24" s="263">
        <v>763</v>
      </c>
      <c r="AG24" s="264">
        <v>0.6681260945709282</v>
      </c>
      <c r="AH24" s="263">
        <v>793</v>
      </c>
      <c r="AI24" s="264">
        <v>0.6619365609348915</v>
      </c>
      <c r="AJ24" s="263">
        <v>857</v>
      </c>
      <c r="AK24" s="265">
        <v>0.67321288295365278</v>
      </c>
      <c r="AL24" s="266">
        <v>856</v>
      </c>
      <c r="AM24" s="267">
        <v>0.6858974358974359</v>
      </c>
      <c r="AN24" s="266">
        <v>884</v>
      </c>
      <c r="AO24" s="267">
        <v>0.70947030497592301</v>
      </c>
      <c r="AP24" s="291">
        <v>841</v>
      </c>
      <c r="AQ24" s="292">
        <v>0.68485342019543971</v>
      </c>
      <c r="AR24" s="291">
        <v>871</v>
      </c>
      <c r="AS24" s="292">
        <v>0.70298627925746571</v>
      </c>
      <c r="AT24" s="362">
        <f>AT22+AT23</f>
        <v>782</v>
      </c>
      <c r="AU24" s="353">
        <f>AT24/AT9</f>
        <v>0.68596491228070178</v>
      </c>
      <c r="AV24" s="362">
        <f>AV22+AV23</f>
        <v>856</v>
      </c>
      <c r="AW24" s="353">
        <f>AV24/AV9</f>
        <v>0.72236286919831227</v>
      </c>
      <c r="AX24" s="362">
        <f>AX22+AX23</f>
        <v>910</v>
      </c>
      <c r="AY24" s="458">
        <f>AX24/AX9</f>
        <v>0.68575734740015071</v>
      </c>
      <c r="AZ24" s="352">
        <f>AZ22+AZ23</f>
        <v>893</v>
      </c>
      <c r="BA24" s="458">
        <f>AZ24/AZ9</f>
        <v>0.67447129909365555</v>
      </c>
      <c r="BB24" s="352">
        <f>BB22+BB23</f>
        <v>875</v>
      </c>
      <c r="BC24" s="458">
        <f>BB24/BB9</f>
        <v>0.68146417445482865</v>
      </c>
      <c r="BD24" s="293">
        <f>BD22+BD23</f>
        <v>898</v>
      </c>
      <c r="BE24" s="464">
        <f>BD24/BD9</f>
        <v>0.61255115961800821</v>
      </c>
    </row>
    <row r="25" spans="2:58" x14ac:dyDescent="0.25">
      <c r="B25" s="297" t="s">
        <v>54</v>
      </c>
      <c r="C25" s="29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</row>
    <row r="26" spans="2:58" x14ac:dyDescent="0.25">
      <c r="B26" s="298" t="s">
        <v>53</v>
      </c>
      <c r="C26" s="299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</row>
    <row r="27" spans="2:58" x14ac:dyDescent="0.25"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</row>
    <row r="28" spans="2:58" x14ac:dyDescent="0.25">
      <c r="BD28" s="238"/>
      <c r="BE28" s="238"/>
      <c r="BF28" s="238"/>
    </row>
  </sheetData>
  <mergeCells count="16">
    <mergeCell ref="B21:C21"/>
    <mergeCell ref="B16:C16"/>
    <mergeCell ref="B6:C6"/>
    <mergeCell ref="B11:C11"/>
    <mergeCell ref="B4:C4"/>
    <mergeCell ref="AV4:AW4"/>
    <mergeCell ref="AX4:AY4"/>
    <mergeCell ref="B2:BE2"/>
    <mergeCell ref="B1:BE1"/>
    <mergeCell ref="AN4:AO4"/>
    <mergeCell ref="AR4:AS4"/>
    <mergeCell ref="AZ4:BA4"/>
    <mergeCell ref="BD4:BE4"/>
    <mergeCell ref="AP4:AQ4"/>
    <mergeCell ref="BB4:BC4"/>
    <mergeCell ref="AT4:AU4"/>
  </mergeCells>
  <pageMargins left="0.7" right="0.7" top="0.75" bottom="0.75" header="0.3" footer="0.3"/>
  <pageSetup orientation="portrait" r:id="rId1"/>
  <headerFooter alignWithMargins="0"/>
  <ignoredErrors>
    <ignoredError sqref="B13:AW13 BC13 AX22:AY22 AX24:AY24 AX19:AY21 AX23:AY23 B19:AW24 BB19:BC21 BB24:BD24 BC22 BC23 AX14 BC18 BC17 B14:AW18 BB14:BC16 AZ19:BA21 AX15:BA16 AX18:BA18 AX17:BB17 AY14:BA14 AZ24:BA24 AZ23:BB23 AZ22:BB22 BD14 BD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7226-CE60-4C9C-98DA-651DB7FA4A6C}">
  <dimension ref="A1:EA44"/>
  <sheetViews>
    <sheetView tabSelected="1" zoomScaleNormal="100" workbookViewId="0">
      <pane xSplit="1" topLeftCell="B1" activePane="topRight" state="frozen"/>
      <selection pane="topRight" activeCell="CA22" sqref="CA22"/>
    </sheetView>
  </sheetViews>
  <sheetFormatPr defaultColWidth="8.88671875" defaultRowHeight="10.199999999999999" x14ac:dyDescent="0.2"/>
  <cols>
    <col min="1" max="1" width="8.88671875" style="203"/>
    <col min="2" max="2" width="11.33203125" style="203" customWidth="1"/>
    <col min="3" max="3" width="15.88671875" style="203" customWidth="1"/>
    <col min="4" max="5" width="9.109375" style="203" hidden="1" customWidth="1"/>
    <col min="6" max="6" width="7.88671875" style="309" hidden="1" customWidth="1"/>
    <col min="7" max="8" width="7.88671875" style="203" hidden="1" customWidth="1"/>
    <col min="9" max="9" width="7.88671875" style="309" hidden="1" customWidth="1"/>
    <col min="10" max="11" width="7.88671875" style="203" hidden="1" customWidth="1"/>
    <col min="12" max="12" width="7.88671875" style="309" hidden="1" customWidth="1"/>
    <col min="13" max="14" width="7.88671875" style="203" hidden="1" customWidth="1"/>
    <col min="15" max="15" width="7.88671875" style="309" hidden="1" customWidth="1"/>
    <col min="16" max="17" width="7.88671875" style="203" hidden="1" customWidth="1"/>
    <col min="18" max="18" width="7.88671875" style="309" hidden="1" customWidth="1"/>
    <col min="19" max="20" width="7.88671875" style="203" hidden="1" customWidth="1"/>
    <col min="21" max="21" width="7.88671875" style="309" hidden="1" customWidth="1"/>
    <col min="22" max="23" width="7.88671875" style="203" hidden="1" customWidth="1"/>
    <col min="24" max="24" width="7.88671875" style="309" hidden="1" customWidth="1"/>
    <col min="25" max="26" width="7.88671875" style="203" hidden="1" customWidth="1"/>
    <col min="27" max="27" width="7.88671875" style="309" hidden="1" customWidth="1"/>
    <col min="28" max="29" width="7.88671875" style="203" hidden="1" customWidth="1"/>
    <col min="30" max="30" width="7.88671875" style="309" hidden="1" customWidth="1"/>
    <col min="31" max="31" width="8.88671875" style="203" hidden="1" customWidth="1"/>
    <col min="32" max="32" width="0.6640625" style="203" hidden="1" customWidth="1"/>
    <col min="33" max="33" width="0" style="203" hidden="1" customWidth="1"/>
    <col min="34" max="35" width="8.88671875" style="203" hidden="1" customWidth="1"/>
    <col min="36" max="36" width="0" style="203" hidden="1" customWidth="1"/>
    <col min="37" max="38" width="8.88671875" style="203" hidden="1" customWidth="1"/>
    <col min="39" max="42" width="0" style="203" hidden="1" customWidth="1"/>
    <col min="43" max="44" width="8.88671875" style="203" hidden="1" customWidth="1"/>
    <col min="45" max="45" width="0" style="203" hidden="1" customWidth="1"/>
    <col min="46" max="47" width="8.88671875" style="203" hidden="1" customWidth="1"/>
    <col min="48" max="50" width="0" style="203" hidden="1" customWidth="1"/>
    <col min="51" max="51" width="8.88671875" style="203"/>
    <col min="52" max="53" width="0" style="203" hidden="1" customWidth="1"/>
    <col min="54" max="54" width="8.88671875" style="203"/>
    <col min="55" max="56" width="0" style="203" hidden="1" customWidth="1"/>
    <col min="57" max="57" width="7" style="203" customWidth="1"/>
    <col min="58" max="59" width="8.88671875" style="203" hidden="1" customWidth="1"/>
    <col min="60" max="60" width="8.88671875" style="203"/>
    <col min="61" max="62" width="8.88671875" style="203" hidden="1" customWidth="1"/>
    <col min="63" max="63" width="8.88671875" style="203"/>
    <col min="64" max="65" width="8.88671875" style="203" hidden="1" customWidth="1"/>
    <col min="66" max="66" width="8.88671875" style="203"/>
    <col min="67" max="67" width="9.5546875" style="203" hidden="1" customWidth="1"/>
    <col min="68" max="68" width="6.44140625" style="203" hidden="1" customWidth="1"/>
    <col min="69" max="69" width="8.88671875" style="203"/>
    <col min="70" max="71" width="8.88671875" style="203" hidden="1" customWidth="1"/>
    <col min="72" max="72" width="8.88671875" style="203"/>
    <col min="73" max="74" width="8.88671875" style="203" hidden="1" customWidth="1"/>
    <col min="75" max="16384" width="8.88671875" style="203"/>
  </cols>
  <sheetData>
    <row r="1" spans="1:131" x14ac:dyDescent="0.2">
      <c r="A1" s="299"/>
      <c r="B1" s="532" t="s">
        <v>62</v>
      </c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532"/>
      <c r="BT1" s="532"/>
      <c r="BU1" s="532"/>
      <c r="BV1" s="532"/>
      <c r="BW1" s="532"/>
      <c r="BX1" s="495"/>
      <c r="BY1" s="495"/>
      <c r="BZ1" s="495"/>
      <c r="CA1" s="495"/>
      <c r="CB1" s="495"/>
      <c r="CC1" s="495"/>
      <c r="CD1" s="495"/>
      <c r="CE1" s="495"/>
      <c r="CF1" s="495"/>
      <c r="CG1" s="495"/>
      <c r="CH1" s="495"/>
      <c r="CI1" s="495"/>
      <c r="CJ1" s="495"/>
      <c r="CK1" s="495"/>
      <c r="CL1" s="495"/>
      <c r="CM1" s="495"/>
      <c r="CN1" s="495"/>
      <c r="CO1" s="495"/>
      <c r="CP1" s="495"/>
      <c r="CQ1" s="495"/>
      <c r="CR1" s="495"/>
      <c r="CS1" s="495"/>
      <c r="CT1" s="495"/>
      <c r="CU1" s="495"/>
      <c r="CV1" s="495"/>
      <c r="CW1" s="495"/>
      <c r="CX1" s="495"/>
      <c r="CY1" s="495"/>
      <c r="CZ1" s="495"/>
      <c r="DA1" s="495"/>
      <c r="DB1" s="495"/>
      <c r="DC1" s="495"/>
      <c r="DD1" s="495"/>
      <c r="DE1" s="495"/>
      <c r="DF1" s="495"/>
      <c r="DG1" s="495"/>
      <c r="DH1" s="495"/>
      <c r="DI1" s="495"/>
      <c r="DJ1" s="495"/>
      <c r="DK1" s="495"/>
      <c r="DL1" s="495"/>
      <c r="DM1" s="495"/>
      <c r="DN1" s="495"/>
      <c r="DO1" s="495"/>
      <c r="DP1" s="495"/>
      <c r="DQ1" s="495"/>
      <c r="DR1" s="495"/>
      <c r="DS1" s="495"/>
      <c r="DT1" s="495"/>
      <c r="DU1" s="495"/>
      <c r="DV1" s="495"/>
      <c r="DW1" s="495"/>
      <c r="DX1" s="495"/>
      <c r="DY1" s="495"/>
      <c r="DZ1" s="495"/>
      <c r="EA1" s="495"/>
    </row>
    <row r="2" spans="1:131" x14ac:dyDescent="0.2">
      <c r="A2" s="299"/>
      <c r="B2" s="533" t="s">
        <v>70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  <c r="AM2" s="533"/>
      <c r="AN2" s="533"/>
      <c r="AO2" s="533"/>
      <c r="AP2" s="533"/>
      <c r="AQ2" s="533"/>
      <c r="AR2" s="533"/>
      <c r="AS2" s="533"/>
      <c r="AT2" s="533"/>
      <c r="AU2" s="533"/>
      <c r="AV2" s="533"/>
      <c r="AW2" s="533"/>
      <c r="AX2" s="533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533"/>
      <c r="BV2" s="533"/>
      <c r="BW2" s="533"/>
      <c r="BX2" s="496"/>
      <c r="BY2" s="496"/>
      <c r="BZ2" s="496"/>
      <c r="CA2" s="496"/>
      <c r="CB2" s="496"/>
      <c r="CC2" s="496"/>
      <c r="CD2" s="496"/>
      <c r="CE2" s="496"/>
      <c r="CF2" s="496"/>
      <c r="CG2" s="496"/>
      <c r="CH2" s="496"/>
      <c r="CI2" s="496"/>
      <c r="CJ2" s="496"/>
      <c r="CK2" s="496"/>
      <c r="CL2" s="496"/>
      <c r="CM2" s="496"/>
      <c r="CN2" s="496"/>
      <c r="CO2" s="496"/>
      <c r="CP2" s="496"/>
      <c r="CQ2" s="496"/>
      <c r="CR2" s="496"/>
      <c r="CS2" s="496"/>
      <c r="CT2" s="496"/>
      <c r="CU2" s="496"/>
      <c r="CV2" s="496"/>
      <c r="CW2" s="496"/>
      <c r="CX2" s="496"/>
      <c r="CY2" s="496"/>
      <c r="CZ2" s="496"/>
      <c r="DA2" s="496"/>
      <c r="DB2" s="496"/>
      <c r="DC2" s="496"/>
      <c r="DD2" s="496"/>
      <c r="DE2" s="496"/>
      <c r="DF2" s="496"/>
      <c r="DG2" s="496"/>
      <c r="DH2" s="496"/>
      <c r="DI2" s="496"/>
      <c r="DJ2" s="496"/>
      <c r="DK2" s="496"/>
      <c r="DL2" s="496"/>
      <c r="DM2" s="496"/>
      <c r="DN2" s="496"/>
      <c r="DO2" s="496"/>
      <c r="DP2" s="496"/>
      <c r="DQ2" s="496"/>
      <c r="DR2" s="496"/>
      <c r="DS2" s="496"/>
      <c r="DT2" s="496"/>
      <c r="DU2" s="496"/>
      <c r="DV2" s="496"/>
      <c r="DW2" s="496"/>
      <c r="DX2" s="496"/>
      <c r="DY2" s="496"/>
      <c r="DZ2" s="496"/>
      <c r="EA2" s="496"/>
    </row>
    <row r="3" spans="1:131" x14ac:dyDescent="0.2">
      <c r="A3" s="299"/>
      <c r="B3" s="497"/>
      <c r="C3" s="299"/>
      <c r="D3" s="299"/>
      <c r="E3" s="299"/>
      <c r="F3" s="498"/>
      <c r="G3" s="299"/>
      <c r="H3" s="299"/>
      <c r="I3" s="498"/>
      <c r="J3" s="299"/>
      <c r="K3" s="299"/>
      <c r="L3" s="498"/>
      <c r="M3" s="299"/>
      <c r="N3" s="299"/>
      <c r="O3" s="498"/>
      <c r="P3" s="299"/>
      <c r="Q3" s="299"/>
      <c r="R3" s="498"/>
      <c r="S3" s="299"/>
      <c r="T3" s="299"/>
      <c r="U3" s="498"/>
      <c r="V3" s="299"/>
      <c r="W3" s="299"/>
      <c r="X3" s="498"/>
      <c r="Y3" s="299"/>
      <c r="Z3" s="299"/>
      <c r="AA3" s="498"/>
      <c r="AB3" s="299"/>
      <c r="AC3" s="299"/>
      <c r="AD3" s="498"/>
      <c r="AE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Q3" s="299"/>
      <c r="BT3" s="299"/>
      <c r="BU3" s="299"/>
      <c r="BV3" s="299"/>
      <c r="BW3" s="299"/>
      <c r="BX3" s="299"/>
    </row>
    <row r="4" spans="1:131" x14ac:dyDescent="0.2">
      <c r="A4" s="511"/>
      <c r="B4" s="113"/>
      <c r="C4" s="300"/>
      <c r="D4" s="537" t="s">
        <v>45</v>
      </c>
      <c r="E4" s="535"/>
      <c r="F4" s="535"/>
      <c r="G4" s="535"/>
      <c r="H4" s="535"/>
      <c r="I4" s="535"/>
      <c r="J4" s="535"/>
      <c r="K4" s="535"/>
      <c r="L4" s="536"/>
      <c r="M4" s="537" t="s">
        <v>46</v>
      </c>
      <c r="N4" s="535"/>
      <c r="O4" s="535"/>
      <c r="P4" s="535"/>
      <c r="Q4" s="535"/>
      <c r="R4" s="535"/>
      <c r="S4" s="535"/>
      <c r="T4" s="535"/>
      <c r="U4" s="536"/>
      <c r="V4" s="537" t="s">
        <v>48</v>
      </c>
      <c r="W4" s="535"/>
      <c r="X4" s="535"/>
      <c r="Y4" s="535"/>
      <c r="Z4" s="535"/>
      <c r="AA4" s="535"/>
      <c r="AB4" s="535"/>
      <c r="AC4" s="535"/>
      <c r="AD4" s="536"/>
      <c r="AE4" s="537" t="s">
        <v>55</v>
      </c>
      <c r="AF4" s="535"/>
      <c r="AG4" s="535"/>
      <c r="AH4" s="535"/>
      <c r="AI4" s="535"/>
      <c r="AJ4" s="535"/>
      <c r="AK4" s="535"/>
      <c r="AL4" s="535"/>
      <c r="AM4" s="535"/>
      <c r="AN4" s="538" t="s">
        <v>56</v>
      </c>
      <c r="AO4" s="535"/>
      <c r="AP4" s="535"/>
      <c r="AQ4" s="535"/>
      <c r="AR4" s="535"/>
      <c r="AS4" s="535"/>
      <c r="AT4" s="535"/>
      <c r="AU4" s="535"/>
      <c r="AV4" s="539"/>
      <c r="AW4" s="538" t="s">
        <v>59</v>
      </c>
      <c r="AX4" s="535"/>
      <c r="AY4" s="535"/>
      <c r="AZ4" s="535"/>
      <c r="BA4" s="535"/>
      <c r="BB4" s="535"/>
      <c r="BC4" s="535"/>
      <c r="BD4" s="535"/>
      <c r="BE4" s="536"/>
      <c r="BF4" s="535" t="s">
        <v>61</v>
      </c>
      <c r="BG4" s="535"/>
      <c r="BH4" s="535"/>
      <c r="BI4" s="535"/>
      <c r="BJ4" s="535"/>
      <c r="BK4" s="535"/>
      <c r="BL4" s="535"/>
      <c r="BM4" s="535"/>
      <c r="BN4" s="536"/>
      <c r="BO4" s="540" t="s">
        <v>63</v>
      </c>
      <c r="BP4" s="540"/>
      <c r="BQ4" s="540"/>
      <c r="BR4" s="540"/>
      <c r="BS4" s="540"/>
      <c r="BT4" s="540"/>
      <c r="BU4" s="540"/>
      <c r="BV4" s="540"/>
      <c r="BW4" s="541"/>
      <c r="BX4" s="299"/>
    </row>
    <row r="5" spans="1:131" x14ac:dyDescent="0.2">
      <c r="A5" s="511"/>
      <c r="B5" s="128"/>
      <c r="C5" s="301"/>
      <c r="D5" s="537" t="s">
        <v>13</v>
      </c>
      <c r="E5" s="535"/>
      <c r="F5" s="535"/>
      <c r="G5" s="537" t="s">
        <v>14</v>
      </c>
      <c r="H5" s="535"/>
      <c r="I5" s="536"/>
      <c r="J5" s="535" t="s">
        <v>12</v>
      </c>
      <c r="K5" s="535"/>
      <c r="L5" s="536"/>
      <c r="M5" s="537" t="s">
        <v>13</v>
      </c>
      <c r="N5" s="535"/>
      <c r="O5" s="535"/>
      <c r="P5" s="537" t="s">
        <v>14</v>
      </c>
      <c r="Q5" s="535"/>
      <c r="R5" s="536"/>
      <c r="S5" s="535" t="s">
        <v>12</v>
      </c>
      <c r="T5" s="535"/>
      <c r="U5" s="536"/>
      <c r="V5" s="537" t="s">
        <v>13</v>
      </c>
      <c r="W5" s="535"/>
      <c r="X5" s="536"/>
      <c r="Y5" s="537" t="s">
        <v>14</v>
      </c>
      <c r="Z5" s="535"/>
      <c r="AA5" s="536"/>
      <c r="AB5" s="534" t="s">
        <v>12</v>
      </c>
      <c r="AC5" s="534"/>
      <c r="AD5" s="534"/>
      <c r="AE5" s="537" t="s">
        <v>13</v>
      </c>
      <c r="AF5" s="535"/>
      <c r="AG5" s="536"/>
      <c r="AH5" s="537" t="s">
        <v>14</v>
      </c>
      <c r="AI5" s="535"/>
      <c r="AJ5" s="536"/>
      <c r="AK5" s="534" t="s">
        <v>12</v>
      </c>
      <c r="AL5" s="534"/>
      <c r="AM5" s="537"/>
      <c r="AN5" s="538" t="s">
        <v>13</v>
      </c>
      <c r="AO5" s="535"/>
      <c r="AP5" s="536"/>
      <c r="AQ5" s="537" t="s">
        <v>14</v>
      </c>
      <c r="AR5" s="535"/>
      <c r="AS5" s="536"/>
      <c r="AT5" s="534" t="s">
        <v>12</v>
      </c>
      <c r="AU5" s="534"/>
      <c r="AV5" s="545"/>
      <c r="AW5" s="538" t="s">
        <v>13</v>
      </c>
      <c r="AX5" s="535"/>
      <c r="AY5" s="536"/>
      <c r="AZ5" s="537" t="s">
        <v>14</v>
      </c>
      <c r="BA5" s="535"/>
      <c r="BB5" s="536"/>
      <c r="BC5" s="534" t="s">
        <v>12</v>
      </c>
      <c r="BD5" s="534"/>
      <c r="BE5" s="534"/>
      <c r="BF5" s="535" t="s">
        <v>13</v>
      </c>
      <c r="BG5" s="535"/>
      <c r="BH5" s="536"/>
      <c r="BI5" s="537" t="s">
        <v>14</v>
      </c>
      <c r="BJ5" s="535"/>
      <c r="BK5" s="536"/>
      <c r="BL5" s="534" t="s">
        <v>12</v>
      </c>
      <c r="BM5" s="534"/>
      <c r="BN5" s="534"/>
      <c r="BO5" s="540" t="s">
        <v>13</v>
      </c>
      <c r="BP5" s="540"/>
      <c r="BQ5" s="541"/>
      <c r="BR5" s="542" t="s">
        <v>14</v>
      </c>
      <c r="BS5" s="540"/>
      <c r="BT5" s="541"/>
      <c r="BU5" s="543" t="s">
        <v>12</v>
      </c>
      <c r="BV5" s="543"/>
      <c r="BW5" s="543"/>
      <c r="BX5" s="299"/>
    </row>
    <row r="6" spans="1:131" x14ac:dyDescent="0.2">
      <c r="A6" s="511"/>
      <c r="B6" s="138"/>
      <c r="C6" s="482"/>
      <c r="D6" s="324" t="s">
        <v>28</v>
      </c>
      <c r="E6" s="325" t="s">
        <v>29</v>
      </c>
      <c r="F6" s="323" t="s">
        <v>9</v>
      </c>
      <c r="G6" s="324" t="s">
        <v>28</v>
      </c>
      <c r="H6" s="325" t="s">
        <v>29</v>
      </c>
      <c r="I6" s="323" t="s">
        <v>9</v>
      </c>
      <c r="J6" s="324" t="s">
        <v>28</v>
      </c>
      <c r="K6" s="325" t="s">
        <v>29</v>
      </c>
      <c r="L6" s="326" t="s">
        <v>9</v>
      </c>
      <c r="M6" s="324" t="s">
        <v>28</v>
      </c>
      <c r="N6" s="325" t="s">
        <v>29</v>
      </c>
      <c r="O6" s="326" t="s">
        <v>9</v>
      </c>
      <c r="P6" s="324" t="s">
        <v>28</v>
      </c>
      <c r="Q6" s="325" t="s">
        <v>29</v>
      </c>
      <c r="R6" s="326" t="s">
        <v>9</v>
      </c>
      <c r="S6" s="324" t="s">
        <v>28</v>
      </c>
      <c r="T6" s="325" t="s">
        <v>29</v>
      </c>
      <c r="U6" s="326" t="s">
        <v>9</v>
      </c>
      <c r="V6" s="355" t="s">
        <v>28</v>
      </c>
      <c r="W6" s="367" t="s">
        <v>29</v>
      </c>
      <c r="X6" s="361" t="s">
        <v>9</v>
      </c>
      <c r="Y6" s="220" t="s">
        <v>28</v>
      </c>
      <c r="Z6" s="220" t="s">
        <v>29</v>
      </c>
      <c r="AA6" s="221" t="s">
        <v>9</v>
      </c>
      <c r="AB6" s="220" t="s">
        <v>28</v>
      </c>
      <c r="AC6" s="220" t="s">
        <v>29</v>
      </c>
      <c r="AD6" s="221" t="s">
        <v>9</v>
      </c>
      <c r="AE6" s="355" t="s">
        <v>28</v>
      </c>
      <c r="AF6" s="367" t="s">
        <v>29</v>
      </c>
      <c r="AG6" s="361" t="s">
        <v>9</v>
      </c>
      <c r="AH6" s="220" t="s">
        <v>28</v>
      </c>
      <c r="AI6" s="220" t="s">
        <v>29</v>
      </c>
      <c r="AJ6" s="221" t="s">
        <v>9</v>
      </c>
      <c r="AK6" s="220" t="s">
        <v>28</v>
      </c>
      <c r="AL6" s="220" t="s">
        <v>29</v>
      </c>
      <c r="AM6" s="345" t="s">
        <v>9</v>
      </c>
      <c r="AN6" s="425" t="s">
        <v>28</v>
      </c>
      <c r="AO6" s="367" t="s">
        <v>29</v>
      </c>
      <c r="AP6" s="361" t="s">
        <v>9</v>
      </c>
      <c r="AQ6" s="220" t="s">
        <v>28</v>
      </c>
      <c r="AR6" s="220" t="s">
        <v>29</v>
      </c>
      <c r="AS6" s="221" t="s">
        <v>9</v>
      </c>
      <c r="AT6" s="220" t="s">
        <v>28</v>
      </c>
      <c r="AU6" s="220" t="s">
        <v>29</v>
      </c>
      <c r="AV6" s="426" t="s">
        <v>9</v>
      </c>
      <c r="AW6" s="425" t="s">
        <v>28</v>
      </c>
      <c r="AX6" s="356" t="s">
        <v>29</v>
      </c>
      <c r="AY6" s="368" t="s">
        <v>9</v>
      </c>
      <c r="AZ6" s="220" t="s">
        <v>28</v>
      </c>
      <c r="BA6" s="220" t="s">
        <v>29</v>
      </c>
      <c r="BB6" s="221" t="s">
        <v>9</v>
      </c>
      <c r="BC6" s="220" t="s">
        <v>28</v>
      </c>
      <c r="BD6" s="220" t="s">
        <v>29</v>
      </c>
      <c r="BE6" s="368" t="s">
        <v>9</v>
      </c>
      <c r="BF6" s="484" t="s">
        <v>28</v>
      </c>
      <c r="BG6" s="356" t="s">
        <v>29</v>
      </c>
      <c r="BH6" s="368" t="s">
        <v>9</v>
      </c>
      <c r="BI6" s="220" t="s">
        <v>28</v>
      </c>
      <c r="BJ6" s="220" t="s">
        <v>29</v>
      </c>
      <c r="BK6" s="221" t="s">
        <v>9</v>
      </c>
      <c r="BL6" s="220" t="s">
        <v>28</v>
      </c>
      <c r="BM6" s="220" t="s">
        <v>29</v>
      </c>
      <c r="BN6" s="368" t="s">
        <v>9</v>
      </c>
      <c r="BO6" s="421" t="s">
        <v>28</v>
      </c>
      <c r="BP6" s="313" t="s">
        <v>29</v>
      </c>
      <c r="BQ6" s="434" t="s">
        <v>9</v>
      </c>
      <c r="BR6" s="314" t="s">
        <v>28</v>
      </c>
      <c r="BS6" s="314" t="s">
        <v>29</v>
      </c>
      <c r="BT6" s="214" t="s">
        <v>9</v>
      </c>
      <c r="BU6" s="314" t="s">
        <v>28</v>
      </c>
      <c r="BV6" s="314" t="s">
        <v>29</v>
      </c>
      <c r="BW6" s="214" t="s">
        <v>9</v>
      </c>
      <c r="BX6" s="299"/>
    </row>
    <row r="7" spans="1:131" x14ac:dyDescent="0.2">
      <c r="A7" s="511"/>
      <c r="B7" s="138" t="s">
        <v>3</v>
      </c>
      <c r="C7" s="483"/>
      <c r="D7" s="336"/>
      <c r="E7" s="337"/>
      <c r="F7" s="338"/>
      <c r="G7" s="339"/>
      <c r="H7" s="340"/>
      <c r="I7" s="341"/>
      <c r="J7" s="342"/>
      <c r="K7" s="342"/>
      <c r="L7" s="338"/>
      <c r="M7" s="336"/>
      <c r="N7" s="337"/>
      <c r="O7" s="341"/>
      <c r="P7" s="343"/>
      <c r="Q7" s="340"/>
      <c r="R7" s="341"/>
      <c r="S7" s="337"/>
      <c r="T7" s="337"/>
      <c r="U7" s="344"/>
      <c r="V7" s="357" t="s">
        <v>50</v>
      </c>
      <c r="W7" s="358"/>
      <c r="X7" s="359"/>
      <c r="Y7" s="357"/>
      <c r="Z7" s="358"/>
      <c r="AA7" s="360"/>
      <c r="AB7" s="357"/>
      <c r="AC7" s="358"/>
      <c r="AD7" s="360"/>
      <c r="AE7" s="357" t="s">
        <v>50</v>
      </c>
      <c r="AF7" s="358"/>
      <c r="AG7" s="359"/>
      <c r="AH7" s="357"/>
      <c r="AI7" s="358"/>
      <c r="AJ7" s="360"/>
      <c r="AK7" s="357"/>
      <c r="AL7" s="358"/>
      <c r="AM7" s="358"/>
      <c r="AN7" s="427" t="s">
        <v>50</v>
      </c>
      <c r="AO7" s="358"/>
      <c r="AP7" s="359"/>
      <c r="AQ7" s="357"/>
      <c r="AR7" s="358"/>
      <c r="AS7" s="360"/>
      <c r="AT7" s="357"/>
      <c r="AU7" s="358"/>
      <c r="AV7" s="428"/>
      <c r="AW7" s="427" t="s">
        <v>50</v>
      </c>
      <c r="AX7" s="358"/>
      <c r="AY7" s="360"/>
      <c r="AZ7" s="357" t="s">
        <v>50</v>
      </c>
      <c r="BA7" s="358"/>
      <c r="BB7" s="360"/>
      <c r="BC7" s="357"/>
      <c r="BD7" s="358"/>
      <c r="BE7" s="360"/>
      <c r="BF7" s="485" t="s">
        <v>50</v>
      </c>
      <c r="BG7" s="358"/>
      <c r="BH7" s="360"/>
      <c r="BI7" s="357" t="s">
        <v>50</v>
      </c>
      <c r="BJ7" s="358"/>
      <c r="BK7" s="360"/>
      <c r="BL7" s="357"/>
      <c r="BM7" s="358"/>
      <c r="BN7" s="360"/>
      <c r="BO7" s="422" t="s">
        <v>50</v>
      </c>
      <c r="BP7" s="316"/>
      <c r="BQ7" s="317"/>
      <c r="BR7" s="315" t="s">
        <v>50</v>
      </c>
      <c r="BS7" s="316"/>
      <c r="BT7" s="317"/>
      <c r="BU7" s="315"/>
      <c r="BV7" s="316"/>
      <c r="BW7" s="317"/>
      <c r="BX7" s="299"/>
    </row>
    <row r="8" spans="1:131" x14ac:dyDescent="0.2">
      <c r="A8" s="511"/>
      <c r="B8" s="519" t="s">
        <v>49</v>
      </c>
      <c r="C8" s="544"/>
      <c r="D8" s="386">
        <v>8</v>
      </c>
      <c r="E8" s="387">
        <v>42</v>
      </c>
      <c r="F8" s="376">
        <v>0.19047619047619047</v>
      </c>
      <c r="G8" s="388">
        <v>33</v>
      </c>
      <c r="H8" s="389">
        <v>65</v>
      </c>
      <c r="I8" s="376">
        <v>0.50769230769230766</v>
      </c>
      <c r="J8" s="389">
        <v>41</v>
      </c>
      <c r="K8" s="389">
        <v>107</v>
      </c>
      <c r="L8" s="376">
        <v>0.38317757009345793</v>
      </c>
      <c r="M8" s="388">
        <v>15</v>
      </c>
      <c r="N8" s="389">
        <v>34</v>
      </c>
      <c r="O8" s="376">
        <v>0.44117647058823528</v>
      </c>
      <c r="P8" s="388">
        <v>26</v>
      </c>
      <c r="Q8" s="389">
        <v>62</v>
      </c>
      <c r="R8" s="376">
        <v>0.41935483870967744</v>
      </c>
      <c r="S8" s="389">
        <v>41</v>
      </c>
      <c r="T8" s="389">
        <v>96</v>
      </c>
      <c r="U8" s="390">
        <v>0.42708333333333331</v>
      </c>
      <c r="V8" s="391">
        <v>13</v>
      </c>
      <c r="W8" s="389">
        <v>49</v>
      </c>
      <c r="X8" s="376">
        <v>0.26530612244897961</v>
      </c>
      <c r="Y8" s="391">
        <v>29</v>
      </c>
      <c r="Z8" s="389">
        <v>68</v>
      </c>
      <c r="AA8" s="377">
        <v>0.4264705882352941</v>
      </c>
      <c r="AB8" s="391">
        <v>42</v>
      </c>
      <c r="AC8" s="389">
        <v>117</v>
      </c>
      <c r="AD8" s="377">
        <v>0.35897435897435898</v>
      </c>
      <c r="AE8" s="391">
        <v>9</v>
      </c>
      <c r="AF8" s="389">
        <v>51</v>
      </c>
      <c r="AG8" s="376">
        <f>AE8/AF8</f>
        <v>0.17647058823529413</v>
      </c>
      <c r="AH8" s="391">
        <v>27</v>
      </c>
      <c r="AI8" s="389">
        <v>79</v>
      </c>
      <c r="AJ8" s="377">
        <f>AH8/AI8</f>
        <v>0.34177215189873417</v>
      </c>
      <c r="AK8" s="391">
        <f>AH8+AE8</f>
        <v>36</v>
      </c>
      <c r="AL8" s="389">
        <f>AI8+AF8</f>
        <v>130</v>
      </c>
      <c r="AM8" s="392">
        <f>AK8/AL8</f>
        <v>0.27692307692307694</v>
      </c>
      <c r="AN8" s="429">
        <v>11</v>
      </c>
      <c r="AO8" s="389">
        <v>50</v>
      </c>
      <c r="AP8" s="376">
        <f>AN8/AO8</f>
        <v>0.22</v>
      </c>
      <c r="AQ8" s="391">
        <v>42</v>
      </c>
      <c r="AR8" s="389">
        <v>99</v>
      </c>
      <c r="AS8" s="377">
        <f>AQ8/AR8</f>
        <v>0.42424242424242425</v>
      </c>
      <c r="AT8" s="391">
        <f>AQ8+AN8</f>
        <v>53</v>
      </c>
      <c r="AU8" s="389">
        <f>AR8+AO8</f>
        <v>149</v>
      </c>
      <c r="AV8" s="430">
        <f>AT8/AU8</f>
        <v>0.35570469798657717</v>
      </c>
      <c r="AW8" s="429">
        <v>15</v>
      </c>
      <c r="AX8" s="389">
        <v>68</v>
      </c>
      <c r="AY8" s="377">
        <f>AW8/AX8</f>
        <v>0.22058823529411764</v>
      </c>
      <c r="AZ8" s="391">
        <v>53</v>
      </c>
      <c r="BA8" s="389">
        <v>104</v>
      </c>
      <c r="BB8" s="377">
        <f>AZ8/BA8</f>
        <v>0.50961538461538458</v>
      </c>
      <c r="BC8" s="391">
        <f>AZ8+AW8</f>
        <v>68</v>
      </c>
      <c r="BD8" s="389">
        <f>BA8+AX8</f>
        <v>172</v>
      </c>
      <c r="BE8" s="377">
        <f>BC8/BD8</f>
        <v>0.39534883720930231</v>
      </c>
      <c r="BF8" s="486">
        <v>17</v>
      </c>
      <c r="BG8" s="389">
        <v>60</v>
      </c>
      <c r="BH8" s="377">
        <f>BF8/BG8</f>
        <v>0.28333333333333333</v>
      </c>
      <c r="BI8" s="391">
        <v>42</v>
      </c>
      <c r="BJ8" s="389">
        <v>96</v>
      </c>
      <c r="BK8" s="377">
        <f>BI8/BJ8</f>
        <v>0.4375</v>
      </c>
      <c r="BL8" s="391">
        <f>BI8+BF8</f>
        <v>59</v>
      </c>
      <c r="BM8" s="389">
        <f>BJ8+BG8</f>
        <v>156</v>
      </c>
      <c r="BN8" s="377">
        <f>BL8/BM8</f>
        <v>0.37820512820512819</v>
      </c>
      <c r="BO8" s="423">
        <v>22</v>
      </c>
      <c r="BP8" s="319">
        <v>84</v>
      </c>
      <c r="BQ8" s="215">
        <f>BO8/BP8</f>
        <v>0.26190476190476192</v>
      </c>
      <c r="BR8" s="318">
        <v>35</v>
      </c>
      <c r="BS8" s="319">
        <v>98</v>
      </c>
      <c r="BT8" s="215">
        <f>BR8/BS8</f>
        <v>0.35714285714285715</v>
      </c>
      <c r="BU8" s="318">
        <f>BR8+BO8</f>
        <v>57</v>
      </c>
      <c r="BV8" s="319">
        <f>BS8+BP8</f>
        <v>182</v>
      </c>
      <c r="BW8" s="215">
        <f>BU8/BV8</f>
        <v>0.31318681318681318</v>
      </c>
      <c r="BX8" s="299"/>
    </row>
    <row r="9" spans="1:131" x14ac:dyDescent="0.2">
      <c r="A9" s="511"/>
      <c r="B9" s="519" t="s">
        <v>15</v>
      </c>
      <c r="C9" s="544"/>
      <c r="D9" s="386">
        <v>0</v>
      </c>
      <c r="E9" s="387">
        <v>0</v>
      </c>
      <c r="F9" s="376" t="s">
        <v>23</v>
      </c>
      <c r="G9" s="388">
        <v>1</v>
      </c>
      <c r="H9" s="389">
        <v>4</v>
      </c>
      <c r="I9" s="376">
        <v>0.25</v>
      </c>
      <c r="J9" s="389">
        <v>1</v>
      </c>
      <c r="K9" s="389">
        <v>4</v>
      </c>
      <c r="L9" s="376">
        <v>0.25</v>
      </c>
      <c r="M9" s="388">
        <v>0</v>
      </c>
      <c r="N9" s="389">
        <v>0</v>
      </c>
      <c r="O9" s="376" t="s">
        <v>23</v>
      </c>
      <c r="P9" s="388">
        <v>0</v>
      </c>
      <c r="Q9" s="389">
        <v>0</v>
      </c>
      <c r="R9" s="376" t="s">
        <v>23</v>
      </c>
      <c r="S9" s="389">
        <v>0</v>
      </c>
      <c r="T9" s="389">
        <v>0</v>
      </c>
      <c r="U9" s="392" t="s">
        <v>23</v>
      </c>
      <c r="V9" s="391">
        <v>4</v>
      </c>
      <c r="W9" s="389">
        <v>5</v>
      </c>
      <c r="X9" s="376">
        <v>0.8</v>
      </c>
      <c r="Y9" s="391">
        <v>4</v>
      </c>
      <c r="Z9" s="389">
        <v>7</v>
      </c>
      <c r="AA9" s="377">
        <v>0.5714285714285714</v>
      </c>
      <c r="AB9" s="391">
        <v>8</v>
      </c>
      <c r="AC9" s="389">
        <v>12</v>
      </c>
      <c r="AD9" s="377">
        <v>0.66666666666666663</v>
      </c>
      <c r="AE9" s="391">
        <v>1</v>
      </c>
      <c r="AF9" s="389">
        <v>3</v>
      </c>
      <c r="AG9" s="376">
        <f t="shared" ref="AG9:AG17" si="0">AE9/AF9</f>
        <v>0.33333333333333331</v>
      </c>
      <c r="AH9" s="391">
        <v>5</v>
      </c>
      <c r="AI9" s="389">
        <v>9</v>
      </c>
      <c r="AJ9" s="377">
        <f t="shared" ref="AJ9:AJ17" si="1">AH9/AI9</f>
        <v>0.55555555555555558</v>
      </c>
      <c r="AK9" s="391">
        <f t="shared" ref="AK9:AK16" si="2">AH9+AE9</f>
        <v>6</v>
      </c>
      <c r="AL9" s="389">
        <f t="shared" ref="AL9:AL16" si="3">AI9+AF9</f>
        <v>12</v>
      </c>
      <c r="AM9" s="392">
        <f t="shared" ref="AM9:AM17" si="4">AK9/AL9</f>
        <v>0.5</v>
      </c>
      <c r="AN9" s="429">
        <v>1</v>
      </c>
      <c r="AO9" s="389">
        <v>5</v>
      </c>
      <c r="AP9" s="376">
        <f t="shared" ref="AP9:AP16" si="5">AN9/AO9</f>
        <v>0.2</v>
      </c>
      <c r="AQ9" s="391">
        <v>1</v>
      </c>
      <c r="AR9" s="389">
        <v>9</v>
      </c>
      <c r="AS9" s="377">
        <f t="shared" ref="AS9:AS17" si="6">AQ9/AR9</f>
        <v>0.1111111111111111</v>
      </c>
      <c r="AT9" s="391">
        <f t="shared" ref="AT9:AT16" si="7">AQ9+AN9</f>
        <v>2</v>
      </c>
      <c r="AU9" s="389">
        <f t="shared" ref="AU9:AU16" si="8">AR9+AO9</f>
        <v>14</v>
      </c>
      <c r="AV9" s="430">
        <f t="shared" ref="AV9:AV17" si="9">AT9/AU9</f>
        <v>0.14285714285714285</v>
      </c>
      <c r="AW9" s="429">
        <v>1</v>
      </c>
      <c r="AX9" s="389">
        <v>7</v>
      </c>
      <c r="AY9" s="377">
        <f t="shared" ref="AY9:AY11" si="10">AW9/AX9</f>
        <v>0.14285714285714285</v>
      </c>
      <c r="AZ9" s="391">
        <v>5</v>
      </c>
      <c r="BA9" s="389">
        <v>6</v>
      </c>
      <c r="BB9" s="377">
        <f t="shared" ref="BB9:BB17" si="11">AZ9/BA9</f>
        <v>0.83333333333333337</v>
      </c>
      <c r="BC9" s="391">
        <f t="shared" ref="BC9:BC16" si="12">AZ9+AW9</f>
        <v>6</v>
      </c>
      <c r="BD9" s="389">
        <f t="shared" ref="BD9:BD16" si="13">BA9+AX9</f>
        <v>13</v>
      </c>
      <c r="BE9" s="377">
        <f t="shared" ref="BE9:BE17" si="14">BC9/BD9</f>
        <v>0.46153846153846156</v>
      </c>
      <c r="BF9" s="486">
        <v>0</v>
      </c>
      <c r="BG9" s="389">
        <v>3</v>
      </c>
      <c r="BH9" s="377">
        <f t="shared" ref="BH9:BH16" si="15">BF9/BG9</f>
        <v>0</v>
      </c>
      <c r="BI9" s="391">
        <v>3</v>
      </c>
      <c r="BJ9" s="389">
        <v>8</v>
      </c>
      <c r="BK9" s="377">
        <f t="shared" ref="BK9:BK17" si="16">BI9/BJ9</f>
        <v>0.375</v>
      </c>
      <c r="BL9" s="391">
        <f t="shared" ref="BL9:BL16" si="17">BI9+BF9</f>
        <v>3</v>
      </c>
      <c r="BM9" s="389">
        <f t="shared" ref="BM9:BM16" si="18">BJ9+BG9</f>
        <v>11</v>
      </c>
      <c r="BN9" s="377">
        <f t="shared" ref="BN9:BN17" si="19">BL9/BM9</f>
        <v>0.27272727272727271</v>
      </c>
      <c r="BO9" s="423">
        <v>0</v>
      </c>
      <c r="BP9" s="319">
        <v>8</v>
      </c>
      <c r="BQ9" s="215">
        <f t="shared" ref="BQ9:BQ16" si="20">BO9/BP9</f>
        <v>0</v>
      </c>
      <c r="BR9" s="318">
        <v>4</v>
      </c>
      <c r="BS9" s="319">
        <v>12</v>
      </c>
      <c r="BT9" s="215">
        <f t="shared" ref="BT9:BT13" si="21">BR9/BS9</f>
        <v>0.33333333333333331</v>
      </c>
      <c r="BU9" s="318">
        <f t="shared" ref="BU9:BU16" si="22">BR9+BO9</f>
        <v>4</v>
      </c>
      <c r="BV9" s="319">
        <f t="shared" ref="BV9:BV16" si="23">BS9+BP9</f>
        <v>20</v>
      </c>
      <c r="BW9" s="215">
        <f t="shared" ref="BW9:BW17" si="24">BU9/BV9</f>
        <v>0.2</v>
      </c>
      <c r="BX9" s="299"/>
    </row>
    <row r="10" spans="1:131" x14ac:dyDescent="0.2">
      <c r="A10" s="511"/>
      <c r="B10" s="519" t="s">
        <v>25</v>
      </c>
      <c r="C10" s="544"/>
      <c r="D10" s="386">
        <v>5</v>
      </c>
      <c r="E10" s="387">
        <v>19</v>
      </c>
      <c r="F10" s="376">
        <v>0.26315789473684209</v>
      </c>
      <c r="G10" s="388">
        <v>10</v>
      </c>
      <c r="H10" s="389">
        <v>23</v>
      </c>
      <c r="I10" s="376">
        <v>0.43478260869565216</v>
      </c>
      <c r="J10" s="389">
        <v>15</v>
      </c>
      <c r="K10" s="389">
        <v>42</v>
      </c>
      <c r="L10" s="376">
        <v>0.35714285714285715</v>
      </c>
      <c r="M10" s="388">
        <v>4</v>
      </c>
      <c r="N10" s="389">
        <v>10</v>
      </c>
      <c r="O10" s="376">
        <v>0.4</v>
      </c>
      <c r="P10" s="388">
        <v>14</v>
      </c>
      <c r="Q10" s="389">
        <v>23</v>
      </c>
      <c r="R10" s="376">
        <v>0.60869565217391308</v>
      </c>
      <c r="S10" s="389">
        <v>18</v>
      </c>
      <c r="T10" s="389">
        <v>33</v>
      </c>
      <c r="U10" s="390">
        <v>0.54545454545454541</v>
      </c>
      <c r="V10" s="391">
        <v>0</v>
      </c>
      <c r="W10" s="389">
        <v>16</v>
      </c>
      <c r="X10" s="376">
        <v>0</v>
      </c>
      <c r="Y10" s="391">
        <v>9</v>
      </c>
      <c r="Z10" s="389">
        <v>21</v>
      </c>
      <c r="AA10" s="377">
        <v>0.42857142857142855</v>
      </c>
      <c r="AB10" s="391">
        <v>9</v>
      </c>
      <c r="AC10" s="389">
        <v>37</v>
      </c>
      <c r="AD10" s="377">
        <v>0.24324324324324326</v>
      </c>
      <c r="AE10" s="391">
        <v>4</v>
      </c>
      <c r="AF10" s="389">
        <v>12</v>
      </c>
      <c r="AG10" s="376">
        <f t="shared" si="0"/>
        <v>0.33333333333333331</v>
      </c>
      <c r="AH10" s="391">
        <v>20</v>
      </c>
      <c r="AI10" s="389">
        <v>37</v>
      </c>
      <c r="AJ10" s="377">
        <f t="shared" si="1"/>
        <v>0.54054054054054057</v>
      </c>
      <c r="AK10" s="391">
        <f t="shared" si="2"/>
        <v>24</v>
      </c>
      <c r="AL10" s="389">
        <f t="shared" si="3"/>
        <v>49</v>
      </c>
      <c r="AM10" s="392">
        <f t="shared" si="4"/>
        <v>0.48979591836734693</v>
      </c>
      <c r="AN10" s="429">
        <v>6</v>
      </c>
      <c r="AO10" s="389">
        <v>25</v>
      </c>
      <c r="AP10" s="376">
        <f t="shared" si="5"/>
        <v>0.24</v>
      </c>
      <c r="AQ10" s="391">
        <v>17</v>
      </c>
      <c r="AR10" s="389">
        <v>36</v>
      </c>
      <c r="AS10" s="377">
        <f t="shared" si="6"/>
        <v>0.47222222222222221</v>
      </c>
      <c r="AT10" s="391">
        <f t="shared" si="7"/>
        <v>23</v>
      </c>
      <c r="AU10" s="389">
        <f t="shared" si="8"/>
        <v>61</v>
      </c>
      <c r="AV10" s="430">
        <f t="shared" si="9"/>
        <v>0.37704918032786883</v>
      </c>
      <c r="AW10" s="429">
        <v>9</v>
      </c>
      <c r="AX10" s="389">
        <v>24</v>
      </c>
      <c r="AY10" s="377">
        <f t="shared" si="10"/>
        <v>0.375</v>
      </c>
      <c r="AZ10" s="391">
        <v>14</v>
      </c>
      <c r="BA10" s="389">
        <v>32</v>
      </c>
      <c r="BB10" s="377">
        <f t="shared" si="11"/>
        <v>0.4375</v>
      </c>
      <c r="BC10" s="391">
        <f t="shared" si="12"/>
        <v>23</v>
      </c>
      <c r="BD10" s="389">
        <f t="shared" si="13"/>
        <v>56</v>
      </c>
      <c r="BE10" s="377">
        <f t="shared" si="14"/>
        <v>0.4107142857142857</v>
      </c>
      <c r="BF10" s="486">
        <v>4</v>
      </c>
      <c r="BG10" s="389">
        <v>18</v>
      </c>
      <c r="BH10" s="377">
        <f t="shared" si="15"/>
        <v>0.22222222222222221</v>
      </c>
      <c r="BI10" s="391">
        <v>22</v>
      </c>
      <c r="BJ10" s="389">
        <v>35</v>
      </c>
      <c r="BK10" s="377">
        <f t="shared" si="16"/>
        <v>0.62857142857142856</v>
      </c>
      <c r="BL10" s="391">
        <f t="shared" si="17"/>
        <v>26</v>
      </c>
      <c r="BM10" s="389">
        <f t="shared" si="18"/>
        <v>53</v>
      </c>
      <c r="BN10" s="377">
        <f t="shared" si="19"/>
        <v>0.49056603773584906</v>
      </c>
      <c r="BO10" s="423">
        <v>6</v>
      </c>
      <c r="BP10" s="319">
        <v>30</v>
      </c>
      <c r="BQ10" s="215">
        <f t="shared" si="20"/>
        <v>0.2</v>
      </c>
      <c r="BR10" s="318">
        <v>22</v>
      </c>
      <c r="BS10" s="319">
        <v>50</v>
      </c>
      <c r="BT10" s="215">
        <f t="shared" si="21"/>
        <v>0.44</v>
      </c>
      <c r="BU10" s="318">
        <f t="shared" si="22"/>
        <v>28</v>
      </c>
      <c r="BV10" s="319">
        <f t="shared" si="23"/>
        <v>80</v>
      </c>
      <c r="BW10" s="215">
        <f t="shared" si="24"/>
        <v>0.35</v>
      </c>
      <c r="BX10" s="299"/>
    </row>
    <row r="11" spans="1:131" x14ac:dyDescent="0.2">
      <c r="A11" s="511"/>
      <c r="B11" s="519" t="s">
        <v>16</v>
      </c>
      <c r="C11" s="544"/>
      <c r="D11" s="386">
        <v>9</v>
      </c>
      <c r="E11" s="387">
        <v>32</v>
      </c>
      <c r="F11" s="376">
        <v>0.28125</v>
      </c>
      <c r="G11" s="388">
        <v>18</v>
      </c>
      <c r="H11" s="389">
        <v>33</v>
      </c>
      <c r="I11" s="376">
        <v>0.54545454545454541</v>
      </c>
      <c r="J11" s="389">
        <v>27</v>
      </c>
      <c r="K11" s="389">
        <v>65</v>
      </c>
      <c r="L11" s="376">
        <v>0.41538461538461541</v>
      </c>
      <c r="M11" s="388">
        <v>5</v>
      </c>
      <c r="N11" s="389">
        <v>26</v>
      </c>
      <c r="O11" s="376">
        <v>0.19230769230769232</v>
      </c>
      <c r="P11" s="388">
        <v>17</v>
      </c>
      <c r="Q11" s="389">
        <v>36</v>
      </c>
      <c r="R11" s="376">
        <v>0.47222222222222221</v>
      </c>
      <c r="S11" s="389">
        <v>22</v>
      </c>
      <c r="T11" s="389">
        <v>62</v>
      </c>
      <c r="U11" s="390">
        <v>0.35483870967741937</v>
      </c>
      <c r="V11" s="391">
        <v>4</v>
      </c>
      <c r="W11" s="389">
        <v>17</v>
      </c>
      <c r="X11" s="376">
        <v>0.23529411764705882</v>
      </c>
      <c r="Y11" s="391">
        <v>13</v>
      </c>
      <c r="Z11" s="389">
        <v>32</v>
      </c>
      <c r="AA11" s="377">
        <v>0.40625</v>
      </c>
      <c r="AB11" s="391">
        <v>17</v>
      </c>
      <c r="AC11" s="389">
        <v>49</v>
      </c>
      <c r="AD11" s="377">
        <v>0.34693877551020408</v>
      </c>
      <c r="AE11" s="391">
        <v>11</v>
      </c>
      <c r="AF11" s="389">
        <v>28</v>
      </c>
      <c r="AG11" s="376">
        <f t="shared" si="0"/>
        <v>0.39285714285714285</v>
      </c>
      <c r="AH11" s="391">
        <v>15</v>
      </c>
      <c r="AI11" s="389">
        <v>30</v>
      </c>
      <c r="AJ11" s="377">
        <f t="shared" si="1"/>
        <v>0.5</v>
      </c>
      <c r="AK11" s="391">
        <f t="shared" si="2"/>
        <v>26</v>
      </c>
      <c r="AL11" s="389">
        <f t="shared" si="3"/>
        <v>58</v>
      </c>
      <c r="AM11" s="392">
        <f t="shared" si="4"/>
        <v>0.44827586206896552</v>
      </c>
      <c r="AN11" s="429">
        <v>11</v>
      </c>
      <c r="AO11" s="389">
        <v>28</v>
      </c>
      <c r="AP11" s="376">
        <f t="shared" si="5"/>
        <v>0.39285714285714285</v>
      </c>
      <c r="AQ11" s="391">
        <v>16</v>
      </c>
      <c r="AR11" s="389">
        <v>33</v>
      </c>
      <c r="AS11" s="377">
        <f t="shared" si="6"/>
        <v>0.48484848484848486</v>
      </c>
      <c r="AT11" s="391">
        <f t="shared" si="7"/>
        <v>27</v>
      </c>
      <c r="AU11" s="389">
        <f t="shared" si="8"/>
        <v>61</v>
      </c>
      <c r="AV11" s="430">
        <f t="shared" si="9"/>
        <v>0.44262295081967212</v>
      </c>
      <c r="AW11" s="429">
        <v>7</v>
      </c>
      <c r="AX11" s="389">
        <v>32</v>
      </c>
      <c r="AY11" s="377">
        <f t="shared" si="10"/>
        <v>0.21875</v>
      </c>
      <c r="AZ11" s="391">
        <v>12</v>
      </c>
      <c r="BA11" s="389">
        <v>36</v>
      </c>
      <c r="BB11" s="377">
        <f t="shared" si="11"/>
        <v>0.33333333333333331</v>
      </c>
      <c r="BC11" s="391">
        <f t="shared" si="12"/>
        <v>19</v>
      </c>
      <c r="BD11" s="389">
        <f t="shared" si="13"/>
        <v>68</v>
      </c>
      <c r="BE11" s="377">
        <f t="shared" si="14"/>
        <v>0.27941176470588236</v>
      </c>
      <c r="BF11" s="486">
        <v>11</v>
      </c>
      <c r="BG11" s="389">
        <v>36</v>
      </c>
      <c r="BH11" s="377">
        <f t="shared" si="15"/>
        <v>0.30555555555555558</v>
      </c>
      <c r="BI11" s="391">
        <v>19</v>
      </c>
      <c r="BJ11" s="389">
        <v>42</v>
      </c>
      <c r="BK11" s="377">
        <f t="shared" si="16"/>
        <v>0.45238095238095238</v>
      </c>
      <c r="BL11" s="391">
        <f t="shared" si="17"/>
        <v>30</v>
      </c>
      <c r="BM11" s="389">
        <f t="shared" si="18"/>
        <v>78</v>
      </c>
      <c r="BN11" s="377">
        <f t="shared" si="19"/>
        <v>0.38461538461538464</v>
      </c>
      <c r="BO11" s="423">
        <v>13</v>
      </c>
      <c r="BP11" s="319">
        <v>38</v>
      </c>
      <c r="BQ11" s="215">
        <f t="shared" si="20"/>
        <v>0.34210526315789475</v>
      </c>
      <c r="BR11" s="318">
        <v>21</v>
      </c>
      <c r="BS11" s="319">
        <v>50</v>
      </c>
      <c r="BT11" s="215">
        <f t="shared" si="21"/>
        <v>0.42</v>
      </c>
      <c r="BU11" s="318">
        <f t="shared" si="22"/>
        <v>34</v>
      </c>
      <c r="BV11" s="319">
        <f t="shared" si="23"/>
        <v>88</v>
      </c>
      <c r="BW11" s="215">
        <f t="shared" si="24"/>
        <v>0.38636363636363635</v>
      </c>
      <c r="BX11" s="299"/>
    </row>
    <row r="12" spans="1:131" x14ac:dyDescent="0.2">
      <c r="A12" s="511"/>
      <c r="B12" s="369"/>
      <c r="C12" s="481" t="s">
        <v>39</v>
      </c>
      <c r="D12" s="386">
        <v>0</v>
      </c>
      <c r="E12" s="387">
        <v>1</v>
      </c>
      <c r="F12" s="376">
        <v>0</v>
      </c>
      <c r="G12" s="388">
        <v>0</v>
      </c>
      <c r="H12" s="389">
        <v>0</v>
      </c>
      <c r="I12" s="376" t="s">
        <v>23</v>
      </c>
      <c r="J12" s="389">
        <v>0</v>
      </c>
      <c r="K12" s="389">
        <v>1</v>
      </c>
      <c r="L12" s="376">
        <v>0</v>
      </c>
      <c r="M12" s="388">
        <v>1</v>
      </c>
      <c r="N12" s="389">
        <v>2</v>
      </c>
      <c r="O12" s="376">
        <v>0.5</v>
      </c>
      <c r="P12" s="388">
        <v>0</v>
      </c>
      <c r="Q12" s="389">
        <v>0</v>
      </c>
      <c r="R12" s="376" t="s">
        <v>23</v>
      </c>
      <c r="S12" s="389">
        <v>1</v>
      </c>
      <c r="T12" s="389">
        <v>2</v>
      </c>
      <c r="U12" s="390">
        <v>0.5</v>
      </c>
      <c r="V12" s="391">
        <v>0</v>
      </c>
      <c r="W12" s="389">
        <v>0</v>
      </c>
      <c r="X12" s="376" t="s">
        <v>23</v>
      </c>
      <c r="Y12" s="391">
        <v>1</v>
      </c>
      <c r="Z12" s="389">
        <v>1</v>
      </c>
      <c r="AA12" s="377">
        <v>1</v>
      </c>
      <c r="AB12" s="391">
        <v>1</v>
      </c>
      <c r="AC12" s="389">
        <v>1</v>
      </c>
      <c r="AD12" s="377">
        <v>1</v>
      </c>
      <c r="AE12" s="391">
        <v>1</v>
      </c>
      <c r="AF12" s="389">
        <v>2</v>
      </c>
      <c r="AG12" s="376">
        <f t="shared" si="0"/>
        <v>0.5</v>
      </c>
      <c r="AH12" s="391">
        <v>1</v>
      </c>
      <c r="AI12" s="389">
        <v>2</v>
      </c>
      <c r="AJ12" s="377">
        <f t="shared" si="1"/>
        <v>0.5</v>
      </c>
      <c r="AK12" s="391">
        <f t="shared" si="2"/>
        <v>2</v>
      </c>
      <c r="AL12" s="389">
        <f t="shared" si="3"/>
        <v>4</v>
      </c>
      <c r="AM12" s="392">
        <f t="shared" si="4"/>
        <v>0.5</v>
      </c>
      <c r="AN12" s="429">
        <v>1</v>
      </c>
      <c r="AO12" s="389">
        <v>1</v>
      </c>
      <c r="AP12" s="376">
        <f t="shared" si="5"/>
        <v>1</v>
      </c>
      <c r="AQ12" s="391">
        <v>0</v>
      </c>
      <c r="AR12" s="389">
        <v>2</v>
      </c>
      <c r="AS12" s="377">
        <f t="shared" si="6"/>
        <v>0</v>
      </c>
      <c r="AT12" s="391">
        <f t="shared" si="7"/>
        <v>1</v>
      </c>
      <c r="AU12" s="389">
        <f t="shared" si="8"/>
        <v>3</v>
      </c>
      <c r="AV12" s="430">
        <f t="shared" si="9"/>
        <v>0.33333333333333331</v>
      </c>
      <c r="AW12" s="429">
        <v>0</v>
      </c>
      <c r="AX12" s="389">
        <v>0</v>
      </c>
      <c r="AY12" s="377" t="s">
        <v>60</v>
      </c>
      <c r="AZ12" s="391">
        <v>1</v>
      </c>
      <c r="BA12" s="389">
        <v>2</v>
      </c>
      <c r="BB12" s="377">
        <f t="shared" si="11"/>
        <v>0.5</v>
      </c>
      <c r="BC12" s="391">
        <f t="shared" si="12"/>
        <v>1</v>
      </c>
      <c r="BD12" s="389">
        <f t="shared" si="13"/>
        <v>2</v>
      </c>
      <c r="BE12" s="377">
        <f t="shared" si="14"/>
        <v>0.5</v>
      </c>
      <c r="BF12" s="486">
        <v>1</v>
      </c>
      <c r="BG12" s="389">
        <v>1</v>
      </c>
      <c r="BH12" s="377">
        <f t="shared" si="15"/>
        <v>1</v>
      </c>
      <c r="BI12" s="391">
        <v>0</v>
      </c>
      <c r="BJ12" s="389">
        <v>0</v>
      </c>
      <c r="BK12" s="377" t="s">
        <v>60</v>
      </c>
      <c r="BL12" s="391">
        <f t="shared" si="17"/>
        <v>1</v>
      </c>
      <c r="BM12" s="389">
        <f t="shared" si="18"/>
        <v>1</v>
      </c>
      <c r="BN12" s="377">
        <f t="shared" si="19"/>
        <v>1</v>
      </c>
      <c r="BO12" s="423">
        <v>0</v>
      </c>
      <c r="BP12" s="319">
        <v>0</v>
      </c>
      <c r="BQ12" s="215" t="s">
        <v>60</v>
      </c>
      <c r="BR12" s="318">
        <v>0</v>
      </c>
      <c r="BS12" s="319">
        <v>2</v>
      </c>
      <c r="BT12" s="215">
        <f t="shared" si="21"/>
        <v>0</v>
      </c>
      <c r="BU12" s="318">
        <f t="shared" si="22"/>
        <v>0</v>
      </c>
      <c r="BV12" s="319">
        <f t="shared" si="23"/>
        <v>2</v>
      </c>
      <c r="BW12" s="215">
        <f t="shared" si="24"/>
        <v>0</v>
      </c>
      <c r="BX12" s="299"/>
    </row>
    <row r="13" spans="1:131" x14ac:dyDescent="0.2">
      <c r="A13" s="511"/>
      <c r="B13" s="492"/>
      <c r="C13" s="481" t="s">
        <v>11</v>
      </c>
      <c r="D13" s="393">
        <v>155</v>
      </c>
      <c r="E13" s="394">
        <v>354</v>
      </c>
      <c r="F13" s="376">
        <v>0.43785310734463279</v>
      </c>
      <c r="G13" s="388">
        <v>310</v>
      </c>
      <c r="H13" s="389">
        <v>528</v>
      </c>
      <c r="I13" s="376">
        <v>0.58712121212121215</v>
      </c>
      <c r="J13" s="389">
        <v>465</v>
      </c>
      <c r="K13" s="389">
        <v>882</v>
      </c>
      <c r="L13" s="376">
        <v>0.52721088435374153</v>
      </c>
      <c r="M13" s="388">
        <v>150</v>
      </c>
      <c r="N13" s="389">
        <v>364</v>
      </c>
      <c r="O13" s="376">
        <v>0.41208791208791207</v>
      </c>
      <c r="P13" s="388">
        <v>347</v>
      </c>
      <c r="Q13" s="389">
        <v>542</v>
      </c>
      <c r="R13" s="376">
        <v>0.64022140221402213</v>
      </c>
      <c r="S13" s="389">
        <v>497</v>
      </c>
      <c r="T13" s="389">
        <v>906</v>
      </c>
      <c r="U13" s="390">
        <v>0.54856512141280356</v>
      </c>
      <c r="V13" s="391">
        <v>137</v>
      </c>
      <c r="W13" s="389">
        <v>312</v>
      </c>
      <c r="X13" s="376">
        <v>0.4391025641025641</v>
      </c>
      <c r="Y13" s="391">
        <v>328</v>
      </c>
      <c r="Z13" s="389">
        <v>559</v>
      </c>
      <c r="AA13" s="377">
        <v>0.58676207513416812</v>
      </c>
      <c r="AB13" s="391">
        <v>465</v>
      </c>
      <c r="AC13" s="389">
        <v>871</v>
      </c>
      <c r="AD13" s="377">
        <v>0.53386911595866815</v>
      </c>
      <c r="AE13" s="391">
        <v>160</v>
      </c>
      <c r="AF13" s="389">
        <v>364</v>
      </c>
      <c r="AG13" s="376">
        <f t="shared" si="0"/>
        <v>0.43956043956043955</v>
      </c>
      <c r="AH13" s="391">
        <v>312</v>
      </c>
      <c r="AI13" s="389">
        <v>512</v>
      </c>
      <c r="AJ13" s="377">
        <f t="shared" si="1"/>
        <v>0.609375</v>
      </c>
      <c r="AK13" s="391">
        <f t="shared" si="2"/>
        <v>472</v>
      </c>
      <c r="AL13" s="389">
        <f t="shared" si="3"/>
        <v>876</v>
      </c>
      <c r="AM13" s="392">
        <f t="shared" si="4"/>
        <v>0.53881278538812782</v>
      </c>
      <c r="AN13" s="429">
        <v>175</v>
      </c>
      <c r="AO13" s="389">
        <v>401</v>
      </c>
      <c r="AP13" s="376">
        <f t="shared" si="5"/>
        <v>0.43640897755610975</v>
      </c>
      <c r="AQ13" s="391">
        <v>354</v>
      </c>
      <c r="AR13" s="389">
        <v>566</v>
      </c>
      <c r="AS13" s="377">
        <f t="shared" si="6"/>
        <v>0.62544169611307421</v>
      </c>
      <c r="AT13" s="391">
        <f t="shared" si="7"/>
        <v>529</v>
      </c>
      <c r="AU13" s="389">
        <f t="shared" si="8"/>
        <v>967</v>
      </c>
      <c r="AV13" s="430">
        <f t="shared" si="9"/>
        <v>0.54705274043433294</v>
      </c>
      <c r="AW13" s="429">
        <v>178</v>
      </c>
      <c r="AX13" s="389">
        <v>396</v>
      </c>
      <c r="AY13" s="377">
        <f t="shared" ref="AY13:AY16" si="25">AW13/AX13</f>
        <v>0.4494949494949495</v>
      </c>
      <c r="AZ13" s="391">
        <v>322</v>
      </c>
      <c r="BA13" s="389">
        <v>555</v>
      </c>
      <c r="BB13" s="377">
        <f t="shared" si="11"/>
        <v>0.58018018018018014</v>
      </c>
      <c r="BC13" s="391">
        <f t="shared" si="12"/>
        <v>500</v>
      </c>
      <c r="BD13" s="389">
        <f t="shared" si="13"/>
        <v>951</v>
      </c>
      <c r="BE13" s="377">
        <f t="shared" si="14"/>
        <v>0.52576235541535221</v>
      </c>
      <c r="BF13" s="486">
        <v>169</v>
      </c>
      <c r="BG13" s="389">
        <v>393</v>
      </c>
      <c r="BH13" s="377">
        <f t="shared" si="15"/>
        <v>0.43002544529262088</v>
      </c>
      <c r="BI13" s="391">
        <v>335</v>
      </c>
      <c r="BJ13" s="389">
        <v>531</v>
      </c>
      <c r="BK13" s="377">
        <f t="shared" si="16"/>
        <v>0.63088512241054617</v>
      </c>
      <c r="BL13" s="391">
        <f t="shared" si="17"/>
        <v>504</v>
      </c>
      <c r="BM13" s="389">
        <f t="shared" si="18"/>
        <v>924</v>
      </c>
      <c r="BN13" s="377">
        <f t="shared" si="19"/>
        <v>0.54545454545454541</v>
      </c>
      <c r="BO13" s="423">
        <v>182</v>
      </c>
      <c r="BP13" s="319">
        <v>463</v>
      </c>
      <c r="BQ13" s="215">
        <f t="shared" si="20"/>
        <v>0.39308855291576672</v>
      </c>
      <c r="BR13" s="318">
        <v>334</v>
      </c>
      <c r="BS13" s="319">
        <v>574</v>
      </c>
      <c r="BT13" s="215">
        <f t="shared" si="21"/>
        <v>0.58188153310104529</v>
      </c>
      <c r="BU13" s="318">
        <f t="shared" si="22"/>
        <v>516</v>
      </c>
      <c r="BV13" s="319">
        <f t="shared" si="23"/>
        <v>1037</v>
      </c>
      <c r="BW13" s="215">
        <f t="shared" si="24"/>
        <v>0.49758919961427195</v>
      </c>
      <c r="BX13" s="299"/>
    </row>
    <row r="14" spans="1:131" x14ac:dyDescent="0.2">
      <c r="A14" s="511"/>
      <c r="B14" s="519" t="s">
        <v>18</v>
      </c>
      <c r="C14" s="544"/>
      <c r="D14" s="386">
        <v>2</v>
      </c>
      <c r="E14" s="387">
        <v>7</v>
      </c>
      <c r="F14" s="376">
        <v>0.2857142857142857</v>
      </c>
      <c r="G14" s="388">
        <v>4</v>
      </c>
      <c r="H14" s="389">
        <v>7</v>
      </c>
      <c r="I14" s="376">
        <v>0.5714285714285714</v>
      </c>
      <c r="J14" s="389">
        <v>6</v>
      </c>
      <c r="K14" s="389">
        <v>14</v>
      </c>
      <c r="L14" s="376">
        <v>0.42857142857142855</v>
      </c>
      <c r="M14" s="388">
        <v>2</v>
      </c>
      <c r="N14" s="389">
        <v>12</v>
      </c>
      <c r="O14" s="376">
        <v>0.16666666666666666</v>
      </c>
      <c r="P14" s="388">
        <v>0</v>
      </c>
      <c r="Q14" s="389">
        <v>3</v>
      </c>
      <c r="R14" s="376">
        <v>0</v>
      </c>
      <c r="S14" s="389">
        <v>2</v>
      </c>
      <c r="T14" s="389">
        <v>15</v>
      </c>
      <c r="U14" s="390">
        <v>0.13333333333333333</v>
      </c>
      <c r="V14" s="391">
        <v>1</v>
      </c>
      <c r="W14" s="389">
        <v>2</v>
      </c>
      <c r="X14" s="376">
        <v>0.5</v>
      </c>
      <c r="Y14" s="391">
        <v>2</v>
      </c>
      <c r="Z14" s="389">
        <v>8</v>
      </c>
      <c r="AA14" s="377">
        <v>0.25</v>
      </c>
      <c r="AB14" s="391">
        <v>3</v>
      </c>
      <c r="AC14" s="389">
        <v>10</v>
      </c>
      <c r="AD14" s="377">
        <v>0.3</v>
      </c>
      <c r="AE14" s="391">
        <v>1</v>
      </c>
      <c r="AF14" s="389">
        <v>2</v>
      </c>
      <c r="AG14" s="376">
        <f t="shared" si="0"/>
        <v>0.5</v>
      </c>
      <c r="AH14" s="391">
        <v>1</v>
      </c>
      <c r="AI14" s="389">
        <v>4</v>
      </c>
      <c r="AJ14" s="377">
        <f t="shared" si="1"/>
        <v>0.25</v>
      </c>
      <c r="AK14" s="391">
        <f t="shared" si="2"/>
        <v>2</v>
      </c>
      <c r="AL14" s="389">
        <f t="shared" si="3"/>
        <v>6</v>
      </c>
      <c r="AM14" s="392">
        <f t="shared" si="4"/>
        <v>0.33333333333333331</v>
      </c>
      <c r="AN14" s="429">
        <v>1</v>
      </c>
      <c r="AO14" s="389">
        <v>5</v>
      </c>
      <c r="AP14" s="376">
        <f t="shared" si="5"/>
        <v>0.2</v>
      </c>
      <c r="AQ14" s="391">
        <v>1</v>
      </c>
      <c r="AR14" s="389">
        <v>2</v>
      </c>
      <c r="AS14" s="377">
        <f t="shared" si="6"/>
        <v>0.5</v>
      </c>
      <c r="AT14" s="391">
        <f t="shared" si="7"/>
        <v>2</v>
      </c>
      <c r="AU14" s="389">
        <f t="shared" si="8"/>
        <v>7</v>
      </c>
      <c r="AV14" s="430">
        <f t="shared" si="9"/>
        <v>0.2857142857142857</v>
      </c>
      <c r="AW14" s="429">
        <v>1</v>
      </c>
      <c r="AX14" s="389">
        <v>4</v>
      </c>
      <c r="AY14" s="377">
        <f t="shared" si="25"/>
        <v>0.25</v>
      </c>
      <c r="AZ14" s="391">
        <v>3</v>
      </c>
      <c r="BA14" s="389">
        <v>4</v>
      </c>
      <c r="BB14" s="377">
        <f t="shared" si="11"/>
        <v>0.75</v>
      </c>
      <c r="BC14" s="391">
        <f t="shared" si="12"/>
        <v>4</v>
      </c>
      <c r="BD14" s="389">
        <f t="shared" si="13"/>
        <v>8</v>
      </c>
      <c r="BE14" s="377">
        <f t="shared" si="14"/>
        <v>0.5</v>
      </c>
      <c r="BF14" s="486">
        <v>3</v>
      </c>
      <c r="BG14" s="389">
        <v>6</v>
      </c>
      <c r="BH14" s="377">
        <f t="shared" si="15"/>
        <v>0.5</v>
      </c>
      <c r="BI14" s="391">
        <v>0</v>
      </c>
      <c r="BJ14" s="389">
        <v>1</v>
      </c>
      <c r="BK14" s="377">
        <f t="shared" si="16"/>
        <v>0</v>
      </c>
      <c r="BL14" s="391">
        <f t="shared" si="17"/>
        <v>3</v>
      </c>
      <c r="BM14" s="389">
        <f t="shared" si="18"/>
        <v>7</v>
      </c>
      <c r="BN14" s="377">
        <f t="shared" si="19"/>
        <v>0.42857142857142855</v>
      </c>
      <c r="BO14" s="423">
        <v>0</v>
      </c>
      <c r="BP14" s="319">
        <v>1</v>
      </c>
      <c r="BQ14" s="215">
        <f t="shared" si="20"/>
        <v>0</v>
      </c>
      <c r="BR14" s="318">
        <v>2</v>
      </c>
      <c r="BS14" s="319">
        <v>4</v>
      </c>
      <c r="BT14" s="215">
        <f t="shared" ref="BT14:BT17" si="26">BR14/BS14</f>
        <v>0.5</v>
      </c>
      <c r="BU14" s="318">
        <f t="shared" si="22"/>
        <v>2</v>
      </c>
      <c r="BV14" s="319">
        <f t="shared" si="23"/>
        <v>5</v>
      </c>
      <c r="BW14" s="215">
        <f t="shared" si="24"/>
        <v>0.4</v>
      </c>
      <c r="BX14" s="299"/>
    </row>
    <row r="15" spans="1:131" x14ac:dyDescent="0.2">
      <c r="A15" s="511"/>
      <c r="B15" s="369"/>
      <c r="C15" s="481" t="s">
        <v>24</v>
      </c>
      <c r="D15" s="395">
        <v>9</v>
      </c>
      <c r="E15" s="396">
        <v>18</v>
      </c>
      <c r="F15" s="376">
        <v>0.5</v>
      </c>
      <c r="G15" s="388">
        <v>15</v>
      </c>
      <c r="H15" s="389">
        <v>36</v>
      </c>
      <c r="I15" s="376">
        <v>0.41666666666666669</v>
      </c>
      <c r="J15" s="389">
        <v>24</v>
      </c>
      <c r="K15" s="389">
        <v>54</v>
      </c>
      <c r="L15" s="376">
        <v>0.44444444444444442</v>
      </c>
      <c r="M15" s="388">
        <v>11</v>
      </c>
      <c r="N15" s="389">
        <v>24</v>
      </c>
      <c r="O15" s="376">
        <v>0.45833333333333331</v>
      </c>
      <c r="P15" s="388">
        <v>12</v>
      </c>
      <c r="Q15" s="389">
        <v>31</v>
      </c>
      <c r="R15" s="376">
        <v>0.38709677419354838</v>
      </c>
      <c r="S15" s="389">
        <v>23</v>
      </c>
      <c r="T15" s="389">
        <v>55</v>
      </c>
      <c r="U15" s="390">
        <v>0.41818181818181815</v>
      </c>
      <c r="V15" s="391">
        <v>2</v>
      </c>
      <c r="W15" s="389">
        <v>5</v>
      </c>
      <c r="X15" s="376">
        <v>0.4</v>
      </c>
      <c r="Y15" s="391">
        <v>3</v>
      </c>
      <c r="Z15" s="389">
        <v>13</v>
      </c>
      <c r="AA15" s="377">
        <v>0.23076923076923078</v>
      </c>
      <c r="AB15" s="391">
        <v>5</v>
      </c>
      <c r="AC15" s="389">
        <v>18</v>
      </c>
      <c r="AD15" s="377">
        <v>0.27777777777777779</v>
      </c>
      <c r="AE15" s="391">
        <v>0</v>
      </c>
      <c r="AF15" s="389">
        <v>4</v>
      </c>
      <c r="AG15" s="376">
        <f t="shared" si="0"/>
        <v>0</v>
      </c>
      <c r="AH15" s="391">
        <v>3</v>
      </c>
      <c r="AI15" s="389">
        <v>6</v>
      </c>
      <c r="AJ15" s="377">
        <f t="shared" si="1"/>
        <v>0.5</v>
      </c>
      <c r="AK15" s="391">
        <f t="shared" si="2"/>
        <v>3</v>
      </c>
      <c r="AL15" s="389">
        <f t="shared" si="3"/>
        <v>10</v>
      </c>
      <c r="AM15" s="392">
        <f t="shared" si="4"/>
        <v>0.3</v>
      </c>
      <c r="AN15" s="429">
        <v>1</v>
      </c>
      <c r="AO15" s="389">
        <v>8</v>
      </c>
      <c r="AP15" s="376">
        <f t="shared" si="5"/>
        <v>0.125</v>
      </c>
      <c r="AQ15" s="391">
        <v>8</v>
      </c>
      <c r="AR15" s="389">
        <v>20</v>
      </c>
      <c r="AS15" s="377">
        <f t="shared" si="6"/>
        <v>0.4</v>
      </c>
      <c r="AT15" s="391">
        <f t="shared" si="7"/>
        <v>9</v>
      </c>
      <c r="AU15" s="389">
        <f t="shared" si="8"/>
        <v>28</v>
      </c>
      <c r="AV15" s="430">
        <f t="shared" si="9"/>
        <v>0.32142857142857145</v>
      </c>
      <c r="AW15" s="429">
        <v>1</v>
      </c>
      <c r="AX15" s="389">
        <v>4</v>
      </c>
      <c r="AY15" s="377">
        <f t="shared" si="25"/>
        <v>0.25</v>
      </c>
      <c r="AZ15" s="391">
        <v>3</v>
      </c>
      <c r="BA15" s="389">
        <v>10</v>
      </c>
      <c r="BB15" s="377">
        <f t="shared" si="11"/>
        <v>0.3</v>
      </c>
      <c r="BC15" s="391">
        <f t="shared" si="12"/>
        <v>4</v>
      </c>
      <c r="BD15" s="389">
        <f t="shared" si="13"/>
        <v>14</v>
      </c>
      <c r="BE15" s="377">
        <f t="shared" si="14"/>
        <v>0.2857142857142857</v>
      </c>
      <c r="BF15" s="486">
        <v>5</v>
      </c>
      <c r="BG15" s="389">
        <v>11</v>
      </c>
      <c r="BH15" s="377">
        <f t="shared" si="15"/>
        <v>0.45454545454545453</v>
      </c>
      <c r="BI15" s="391">
        <v>2</v>
      </c>
      <c r="BJ15" s="389">
        <v>9</v>
      </c>
      <c r="BK15" s="377">
        <f t="shared" si="16"/>
        <v>0.22222222222222221</v>
      </c>
      <c r="BL15" s="391">
        <f t="shared" si="17"/>
        <v>7</v>
      </c>
      <c r="BM15" s="389">
        <f t="shared" si="18"/>
        <v>20</v>
      </c>
      <c r="BN15" s="377">
        <f t="shared" si="19"/>
        <v>0.35</v>
      </c>
      <c r="BO15" s="423">
        <v>2</v>
      </c>
      <c r="BP15" s="319">
        <v>6</v>
      </c>
      <c r="BQ15" s="215">
        <f t="shared" si="20"/>
        <v>0.33333333333333331</v>
      </c>
      <c r="BR15" s="318">
        <v>3</v>
      </c>
      <c r="BS15" s="319">
        <v>9</v>
      </c>
      <c r="BT15" s="215">
        <f t="shared" si="26"/>
        <v>0.33333333333333331</v>
      </c>
      <c r="BU15" s="318">
        <f t="shared" si="22"/>
        <v>5</v>
      </c>
      <c r="BV15" s="319">
        <f t="shared" si="23"/>
        <v>15</v>
      </c>
      <c r="BW15" s="215">
        <f t="shared" si="24"/>
        <v>0.33333333333333331</v>
      </c>
      <c r="BX15" s="299"/>
    </row>
    <row r="16" spans="1:131" x14ac:dyDescent="0.2">
      <c r="A16" s="511"/>
      <c r="B16" s="493"/>
      <c r="C16" s="466" t="s">
        <v>19</v>
      </c>
      <c r="D16" s="398">
        <v>10</v>
      </c>
      <c r="E16" s="399">
        <v>24</v>
      </c>
      <c r="F16" s="400">
        <v>0.41666666666666669</v>
      </c>
      <c r="G16" s="401">
        <v>19</v>
      </c>
      <c r="H16" s="402">
        <v>35</v>
      </c>
      <c r="I16" s="400">
        <v>0.54285714285714282</v>
      </c>
      <c r="J16" s="402">
        <v>29</v>
      </c>
      <c r="K16" s="402">
        <v>59</v>
      </c>
      <c r="L16" s="400">
        <v>0.49152542372881358</v>
      </c>
      <c r="M16" s="401">
        <v>16</v>
      </c>
      <c r="N16" s="402">
        <v>35</v>
      </c>
      <c r="O16" s="400">
        <v>0.45714285714285713</v>
      </c>
      <c r="P16" s="401">
        <v>19</v>
      </c>
      <c r="Q16" s="402">
        <v>35</v>
      </c>
      <c r="R16" s="400">
        <v>0.54285714285714282</v>
      </c>
      <c r="S16" s="402">
        <v>35</v>
      </c>
      <c r="T16" s="402">
        <v>70</v>
      </c>
      <c r="U16" s="403">
        <v>0.5</v>
      </c>
      <c r="V16" s="404">
        <v>6</v>
      </c>
      <c r="W16" s="402">
        <v>12</v>
      </c>
      <c r="X16" s="400">
        <v>0.5</v>
      </c>
      <c r="Y16" s="404">
        <v>9</v>
      </c>
      <c r="Z16" s="402">
        <v>13</v>
      </c>
      <c r="AA16" s="405">
        <v>0.69230769230769229</v>
      </c>
      <c r="AB16" s="404">
        <v>15</v>
      </c>
      <c r="AC16" s="402">
        <v>25</v>
      </c>
      <c r="AD16" s="405">
        <v>0.6</v>
      </c>
      <c r="AE16" s="404">
        <v>7</v>
      </c>
      <c r="AF16" s="402">
        <v>21</v>
      </c>
      <c r="AG16" s="400">
        <f t="shared" si="0"/>
        <v>0.33333333333333331</v>
      </c>
      <c r="AH16" s="404">
        <v>13</v>
      </c>
      <c r="AI16" s="402">
        <v>19</v>
      </c>
      <c r="AJ16" s="405">
        <f t="shared" si="1"/>
        <v>0.68421052631578949</v>
      </c>
      <c r="AK16" s="404">
        <f t="shared" si="2"/>
        <v>20</v>
      </c>
      <c r="AL16" s="402">
        <f t="shared" si="3"/>
        <v>40</v>
      </c>
      <c r="AM16" s="406">
        <f t="shared" si="4"/>
        <v>0.5</v>
      </c>
      <c r="AN16" s="431">
        <v>6</v>
      </c>
      <c r="AO16" s="402">
        <v>17</v>
      </c>
      <c r="AP16" s="400">
        <f t="shared" si="5"/>
        <v>0.35294117647058826</v>
      </c>
      <c r="AQ16" s="404">
        <v>14</v>
      </c>
      <c r="AR16" s="402">
        <v>20</v>
      </c>
      <c r="AS16" s="405">
        <f t="shared" si="6"/>
        <v>0.7</v>
      </c>
      <c r="AT16" s="404">
        <f t="shared" si="7"/>
        <v>20</v>
      </c>
      <c r="AU16" s="402">
        <f t="shared" si="8"/>
        <v>37</v>
      </c>
      <c r="AV16" s="432">
        <f t="shared" si="9"/>
        <v>0.54054054054054057</v>
      </c>
      <c r="AW16" s="431">
        <v>10</v>
      </c>
      <c r="AX16" s="402">
        <v>20</v>
      </c>
      <c r="AY16" s="405">
        <f t="shared" si="25"/>
        <v>0.5</v>
      </c>
      <c r="AZ16" s="404">
        <v>12</v>
      </c>
      <c r="BA16" s="402">
        <v>20</v>
      </c>
      <c r="BB16" s="405">
        <f t="shared" si="11"/>
        <v>0.6</v>
      </c>
      <c r="BC16" s="404">
        <f t="shared" si="12"/>
        <v>22</v>
      </c>
      <c r="BD16" s="402">
        <f t="shared" si="13"/>
        <v>40</v>
      </c>
      <c r="BE16" s="405">
        <f t="shared" si="14"/>
        <v>0.55000000000000004</v>
      </c>
      <c r="BF16" s="487">
        <v>7</v>
      </c>
      <c r="BG16" s="402">
        <v>15</v>
      </c>
      <c r="BH16" s="405">
        <f t="shared" si="15"/>
        <v>0.46666666666666667</v>
      </c>
      <c r="BI16" s="404">
        <v>12</v>
      </c>
      <c r="BJ16" s="402">
        <v>19</v>
      </c>
      <c r="BK16" s="405">
        <f t="shared" si="16"/>
        <v>0.63157894736842102</v>
      </c>
      <c r="BL16" s="404">
        <f t="shared" si="17"/>
        <v>19</v>
      </c>
      <c r="BM16" s="402">
        <f t="shared" si="18"/>
        <v>34</v>
      </c>
      <c r="BN16" s="405">
        <f t="shared" si="19"/>
        <v>0.55882352941176472</v>
      </c>
      <c r="BO16" s="424">
        <v>6</v>
      </c>
      <c r="BP16" s="321">
        <v>25</v>
      </c>
      <c r="BQ16" s="322">
        <f t="shared" si="20"/>
        <v>0.24</v>
      </c>
      <c r="BR16" s="320">
        <v>6</v>
      </c>
      <c r="BS16" s="321">
        <v>12</v>
      </c>
      <c r="BT16" s="322">
        <f t="shared" si="26"/>
        <v>0.5</v>
      </c>
      <c r="BU16" s="320">
        <f t="shared" si="22"/>
        <v>12</v>
      </c>
      <c r="BV16" s="321">
        <f t="shared" si="23"/>
        <v>37</v>
      </c>
      <c r="BW16" s="322">
        <f t="shared" si="24"/>
        <v>0.32432432432432434</v>
      </c>
      <c r="BX16" s="299"/>
    </row>
    <row r="17" spans="1:76" x14ac:dyDescent="0.2">
      <c r="A17" s="511"/>
      <c r="B17" s="566"/>
      <c r="C17" s="567" t="s">
        <v>12</v>
      </c>
      <c r="D17" s="568">
        <f>SUM(D8:D16)</f>
        <v>198</v>
      </c>
      <c r="E17" s="569">
        <f>SUM(E8:E16)</f>
        <v>497</v>
      </c>
      <c r="F17" s="323">
        <v>0.39839034205231388</v>
      </c>
      <c r="G17" s="570">
        <v>410</v>
      </c>
      <c r="H17" s="571">
        <v>731</v>
      </c>
      <c r="I17" s="323">
        <v>0.560875512995896</v>
      </c>
      <c r="J17" s="571">
        <v>608</v>
      </c>
      <c r="K17" s="571">
        <v>1228</v>
      </c>
      <c r="L17" s="323">
        <v>0.49511400651465798</v>
      </c>
      <c r="M17" s="570">
        <v>204</v>
      </c>
      <c r="N17" s="571">
        <v>507</v>
      </c>
      <c r="O17" s="323">
        <v>0.40236686390532544</v>
      </c>
      <c r="P17" s="570">
        <v>435</v>
      </c>
      <c r="Q17" s="571">
        <v>732</v>
      </c>
      <c r="R17" s="323">
        <v>0.59426229508196726</v>
      </c>
      <c r="S17" s="571">
        <v>639</v>
      </c>
      <c r="T17" s="571">
        <v>1239</v>
      </c>
      <c r="U17" s="572">
        <v>0.5157384987893463</v>
      </c>
      <c r="V17" s="573">
        <v>167</v>
      </c>
      <c r="W17" s="571">
        <v>418</v>
      </c>
      <c r="X17" s="323">
        <v>0.39952153110047844</v>
      </c>
      <c r="Y17" s="573">
        <v>398</v>
      </c>
      <c r="Z17" s="571">
        <v>722</v>
      </c>
      <c r="AA17" s="326">
        <v>0.55124653739612184</v>
      </c>
      <c r="AB17" s="573">
        <v>565</v>
      </c>
      <c r="AC17" s="571">
        <v>1140</v>
      </c>
      <c r="AD17" s="326">
        <v>0.49561403508771928</v>
      </c>
      <c r="AE17" s="573">
        <f>SUM(AE8:AE16)</f>
        <v>194</v>
      </c>
      <c r="AF17" s="571">
        <f>SUM(AF8:AF16)</f>
        <v>487</v>
      </c>
      <c r="AG17" s="323">
        <f t="shared" si="0"/>
        <v>0.39835728952772076</v>
      </c>
      <c r="AH17" s="573">
        <f>SUM(AH8:AH16)</f>
        <v>397</v>
      </c>
      <c r="AI17" s="571">
        <f>SUM(AI8:AI16)</f>
        <v>698</v>
      </c>
      <c r="AJ17" s="326">
        <f t="shared" si="1"/>
        <v>0.56876790830945556</v>
      </c>
      <c r="AK17" s="573">
        <f>SUM(AK8:AK16)</f>
        <v>591</v>
      </c>
      <c r="AL17" s="571">
        <f>SUM(AL8:AL16)</f>
        <v>1185</v>
      </c>
      <c r="AM17" s="574">
        <f t="shared" si="4"/>
        <v>0.49873417721518987</v>
      </c>
      <c r="AN17" s="575">
        <f>SUM(AN8:AN16)</f>
        <v>213</v>
      </c>
      <c r="AO17" s="571">
        <f>SUM(AO8:AO16)</f>
        <v>540</v>
      </c>
      <c r="AP17" s="323">
        <f>AN17/AO17</f>
        <v>0.39444444444444443</v>
      </c>
      <c r="AQ17" s="573">
        <f>SUM(AQ8:AQ16)</f>
        <v>453</v>
      </c>
      <c r="AR17" s="571">
        <f>SUM(AR8:AR16)</f>
        <v>787</v>
      </c>
      <c r="AS17" s="326">
        <f t="shared" si="6"/>
        <v>0.57560355781448536</v>
      </c>
      <c r="AT17" s="573">
        <f>SUM(AT8:AT16)</f>
        <v>666</v>
      </c>
      <c r="AU17" s="571">
        <f>SUM(AU8:AU16)</f>
        <v>1327</v>
      </c>
      <c r="AV17" s="576">
        <f t="shared" si="9"/>
        <v>0.50188394875659381</v>
      </c>
      <c r="AW17" s="575">
        <f>SUM(AW8:AW16)</f>
        <v>222</v>
      </c>
      <c r="AX17" s="571">
        <f>SUM(AX8:AX16)</f>
        <v>555</v>
      </c>
      <c r="AY17" s="335">
        <f>AW17/AX17</f>
        <v>0.4</v>
      </c>
      <c r="AZ17" s="354">
        <f>SUM(AZ8:AZ16)</f>
        <v>425</v>
      </c>
      <c r="BA17" s="334">
        <f>SUM(BA8:BA16)</f>
        <v>769</v>
      </c>
      <c r="BB17" s="335">
        <f t="shared" si="11"/>
        <v>0.55266579973992203</v>
      </c>
      <c r="BC17" s="354">
        <f>SUM(BC8:BC16)</f>
        <v>647</v>
      </c>
      <c r="BD17" s="334">
        <f>SUM(BD8:BD16)</f>
        <v>1324</v>
      </c>
      <c r="BE17" s="335">
        <f t="shared" si="14"/>
        <v>0.48867069486404835</v>
      </c>
      <c r="BF17" s="488">
        <f>SUM(BF8:BF16)</f>
        <v>217</v>
      </c>
      <c r="BG17" s="334">
        <f>SUM(BG8:BG16)</f>
        <v>543</v>
      </c>
      <c r="BH17" s="335">
        <f>BF17/BG17</f>
        <v>0.39963167587476978</v>
      </c>
      <c r="BI17" s="354">
        <f>SUM(BI8:BI16)</f>
        <v>435</v>
      </c>
      <c r="BJ17" s="334">
        <f>SUM(BJ8:BJ16)</f>
        <v>741</v>
      </c>
      <c r="BK17" s="335">
        <f t="shared" si="16"/>
        <v>0.58704453441295545</v>
      </c>
      <c r="BL17" s="354">
        <f>SUM(BL8:BL16)</f>
        <v>652</v>
      </c>
      <c r="BM17" s="334">
        <f>SUM(BM8:BM16)</f>
        <v>1284</v>
      </c>
      <c r="BN17" s="326">
        <f t="shared" si="19"/>
        <v>0.50778816199376942</v>
      </c>
      <c r="BO17" s="577">
        <f>SUM(BO8:BO16)</f>
        <v>231</v>
      </c>
      <c r="BP17" s="578">
        <f>SUM(BP8:BP16)</f>
        <v>655</v>
      </c>
      <c r="BQ17" s="579">
        <f>BO17/BP17</f>
        <v>0.35267175572519083</v>
      </c>
      <c r="BR17" s="320">
        <f>SUM(BR8:BR16)</f>
        <v>427</v>
      </c>
      <c r="BS17" s="321">
        <f>SUM(BS8:BS16)</f>
        <v>811</v>
      </c>
      <c r="BT17" s="322">
        <f t="shared" si="26"/>
        <v>0.52651048088779284</v>
      </c>
      <c r="BU17" s="320">
        <f>SUM(BU8:BU16)</f>
        <v>658</v>
      </c>
      <c r="BV17" s="321">
        <f>SUM(BV8:BV16)</f>
        <v>1466</v>
      </c>
      <c r="BW17" s="322">
        <f t="shared" si="24"/>
        <v>0.44884038199181447</v>
      </c>
      <c r="BX17" s="299"/>
    </row>
    <row r="18" spans="1:76" x14ac:dyDescent="0.2">
      <c r="A18" s="511"/>
      <c r="B18" s="564"/>
      <c r="C18" s="565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565"/>
      <c r="R18" s="565"/>
      <c r="S18" s="565"/>
      <c r="T18" s="565"/>
      <c r="U18" s="565"/>
      <c r="V18" s="565"/>
      <c r="W18" s="565"/>
      <c r="X18" s="565"/>
      <c r="Y18" s="565"/>
      <c r="Z18" s="565"/>
      <c r="AA18" s="565"/>
      <c r="AB18" s="565"/>
      <c r="AC18" s="565"/>
      <c r="AD18" s="565"/>
      <c r="AE18" s="565"/>
      <c r="AF18" s="565"/>
      <c r="AG18" s="565"/>
      <c r="AH18" s="565"/>
      <c r="AI18" s="565"/>
      <c r="AJ18" s="565"/>
      <c r="AK18" s="565"/>
      <c r="AL18" s="565"/>
      <c r="AM18" s="565"/>
      <c r="AN18" s="565"/>
      <c r="AO18" s="565"/>
      <c r="AP18" s="565"/>
      <c r="AQ18" s="565"/>
      <c r="AR18" s="565"/>
      <c r="AS18" s="565"/>
      <c r="AT18" s="565"/>
      <c r="AU18" s="565"/>
      <c r="AV18" s="565"/>
      <c r="AW18" s="565"/>
      <c r="AX18" s="565"/>
      <c r="AY18" s="565"/>
      <c r="AZ18" s="565"/>
      <c r="BA18" s="565"/>
      <c r="BB18" s="565"/>
      <c r="BC18" s="565"/>
      <c r="BD18" s="565"/>
      <c r="BE18" s="565"/>
      <c r="BF18" s="565"/>
      <c r="BG18" s="565"/>
      <c r="BH18" s="565"/>
      <c r="BI18" s="565"/>
      <c r="BJ18" s="565"/>
      <c r="BK18" s="565"/>
      <c r="BL18" s="565"/>
      <c r="BM18" s="565"/>
      <c r="BN18" s="565"/>
      <c r="BO18" s="565"/>
      <c r="BP18" s="565"/>
      <c r="BQ18" s="565"/>
      <c r="BR18" s="565"/>
      <c r="BS18" s="565"/>
      <c r="BT18" s="565"/>
      <c r="BU18" s="565"/>
      <c r="BV18" s="565"/>
      <c r="BW18" s="565"/>
      <c r="BX18" s="299"/>
    </row>
    <row r="19" spans="1:76" x14ac:dyDescent="0.2">
      <c r="A19" s="511"/>
      <c r="B19" s="138" t="s">
        <v>5</v>
      </c>
      <c r="C19" s="483"/>
      <c r="D19" s="307"/>
      <c r="E19" s="308"/>
      <c r="F19" s="327"/>
      <c r="G19" s="328"/>
      <c r="H19" s="329"/>
      <c r="I19" s="327"/>
      <c r="J19" s="329"/>
      <c r="K19" s="329"/>
      <c r="L19" s="327"/>
      <c r="M19" s="328"/>
      <c r="N19" s="329"/>
      <c r="O19" s="327"/>
      <c r="P19" s="328"/>
      <c r="Q19" s="329"/>
      <c r="R19" s="330"/>
      <c r="S19" s="329"/>
      <c r="T19" s="329"/>
      <c r="U19" s="327"/>
      <c r="V19" s="302" t="s">
        <v>50</v>
      </c>
      <c r="W19" s="303"/>
      <c r="X19" s="359"/>
      <c r="Y19" s="357"/>
      <c r="Z19" s="358"/>
      <c r="AA19" s="360"/>
      <c r="AB19" s="357"/>
      <c r="AC19" s="358"/>
      <c r="AD19" s="360"/>
      <c r="AE19" s="357" t="s">
        <v>50</v>
      </c>
      <c r="AF19" s="358"/>
      <c r="AG19" s="359"/>
      <c r="AH19" s="357"/>
      <c r="AI19" s="358"/>
      <c r="AJ19" s="360"/>
      <c r="AK19" s="357"/>
      <c r="AL19" s="358"/>
      <c r="AM19" s="360"/>
      <c r="AN19" s="357" t="s">
        <v>50</v>
      </c>
      <c r="AO19" s="358"/>
      <c r="AP19" s="359"/>
      <c r="AQ19" s="357"/>
      <c r="AR19" s="358"/>
      <c r="AS19" s="360"/>
      <c r="AT19" s="357"/>
      <c r="AU19" s="358"/>
      <c r="AV19" s="360"/>
      <c r="AW19" s="357" t="s">
        <v>50</v>
      </c>
      <c r="AX19" s="358"/>
      <c r="AY19" s="359"/>
      <c r="AZ19" s="357" t="s">
        <v>50</v>
      </c>
      <c r="BA19" s="358"/>
      <c r="BB19" s="360"/>
      <c r="BC19" s="357"/>
      <c r="BD19" s="358"/>
      <c r="BE19" s="360"/>
      <c r="BF19" s="485" t="s">
        <v>50</v>
      </c>
      <c r="BG19" s="358"/>
      <c r="BH19" s="359"/>
      <c r="BI19" s="357" t="s">
        <v>50</v>
      </c>
      <c r="BJ19" s="358"/>
      <c r="BK19" s="360"/>
      <c r="BL19" s="357"/>
      <c r="BM19" s="358"/>
      <c r="BN19" s="360"/>
      <c r="BO19" s="422" t="s">
        <v>50</v>
      </c>
      <c r="BP19" s="316"/>
      <c r="BQ19" s="489"/>
      <c r="BR19" s="315" t="s">
        <v>50</v>
      </c>
      <c r="BS19" s="316"/>
      <c r="BT19" s="317"/>
      <c r="BU19" s="315"/>
      <c r="BV19" s="316"/>
      <c r="BW19" s="317"/>
      <c r="BX19" s="299"/>
    </row>
    <row r="20" spans="1:76" x14ac:dyDescent="0.2">
      <c r="A20" s="511"/>
      <c r="B20" s="519" t="s">
        <v>49</v>
      </c>
      <c r="C20" s="544"/>
      <c r="D20" s="407">
        <v>17</v>
      </c>
      <c r="E20" s="408">
        <v>42</v>
      </c>
      <c r="F20" s="376">
        <v>0.40476190476190477</v>
      </c>
      <c r="G20" s="388">
        <v>43</v>
      </c>
      <c r="H20" s="389">
        <v>65</v>
      </c>
      <c r="I20" s="376">
        <v>0.66153846153846152</v>
      </c>
      <c r="J20" s="389">
        <v>60</v>
      </c>
      <c r="K20" s="389">
        <v>107</v>
      </c>
      <c r="L20" s="376">
        <v>0.56074766355140182</v>
      </c>
      <c r="M20" s="388">
        <v>20</v>
      </c>
      <c r="N20" s="389">
        <v>34</v>
      </c>
      <c r="O20" s="376">
        <v>0.58823529411764708</v>
      </c>
      <c r="P20" s="388">
        <v>37</v>
      </c>
      <c r="Q20" s="389">
        <v>62</v>
      </c>
      <c r="R20" s="377">
        <v>0.59677419354838712</v>
      </c>
      <c r="S20" s="389">
        <v>57</v>
      </c>
      <c r="T20" s="389">
        <v>96</v>
      </c>
      <c r="U20" s="376">
        <v>0.59375</v>
      </c>
      <c r="V20" s="409">
        <v>19</v>
      </c>
      <c r="W20" s="410">
        <v>49</v>
      </c>
      <c r="X20" s="376">
        <v>0.38775510204081631</v>
      </c>
      <c r="Y20" s="391">
        <v>48</v>
      </c>
      <c r="Z20" s="389">
        <v>68</v>
      </c>
      <c r="AA20" s="377">
        <v>0.70588235294117652</v>
      </c>
      <c r="AB20" s="391">
        <v>67</v>
      </c>
      <c r="AC20" s="389">
        <v>117</v>
      </c>
      <c r="AD20" s="377">
        <v>0.57264957264957261</v>
      </c>
      <c r="AE20" s="391">
        <f>9+13</f>
        <v>22</v>
      </c>
      <c r="AF20" s="389">
        <f t="shared" ref="AF20:AF28" si="27">AF8</f>
        <v>51</v>
      </c>
      <c r="AG20" s="376">
        <f>AE20/AF20</f>
        <v>0.43137254901960786</v>
      </c>
      <c r="AH20" s="391">
        <f>27+27</f>
        <v>54</v>
      </c>
      <c r="AI20" s="389">
        <f t="shared" ref="AI20:AI28" si="28">AI8</f>
        <v>79</v>
      </c>
      <c r="AJ20" s="377">
        <f>AH20/AI20</f>
        <v>0.68354430379746833</v>
      </c>
      <c r="AK20" s="391">
        <f>AH20+AE20</f>
        <v>76</v>
      </c>
      <c r="AL20" s="389">
        <f>AI20+AF20</f>
        <v>130</v>
      </c>
      <c r="AM20" s="377">
        <f>AK20/AL20</f>
        <v>0.58461538461538465</v>
      </c>
      <c r="AN20" s="391">
        <v>28</v>
      </c>
      <c r="AO20" s="389">
        <f t="shared" ref="AO20:AO28" si="29">AO8</f>
        <v>50</v>
      </c>
      <c r="AP20" s="376">
        <f>AN20/AO20</f>
        <v>0.56000000000000005</v>
      </c>
      <c r="AQ20" s="391">
        <v>61</v>
      </c>
      <c r="AR20" s="389">
        <f t="shared" ref="AR20:AR28" si="30">AR8</f>
        <v>99</v>
      </c>
      <c r="AS20" s="377">
        <f>AQ20/AR20</f>
        <v>0.61616161616161613</v>
      </c>
      <c r="AT20" s="391">
        <f>AQ20+AN20</f>
        <v>89</v>
      </c>
      <c r="AU20" s="389">
        <f>AR20+AO20</f>
        <v>149</v>
      </c>
      <c r="AV20" s="377">
        <f>AT20/AU20</f>
        <v>0.59731543624161076</v>
      </c>
      <c r="AW20" s="391">
        <v>31</v>
      </c>
      <c r="AX20" s="389">
        <f t="shared" ref="AX20:AX28" si="31">AX8</f>
        <v>68</v>
      </c>
      <c r="AY20" s="376">
        <f>AW20/AX20</f>
        <v>0.45588235294117646</v>
      </c>
      <c r="AZ20" s="391">
        <v>64</v>
      </c>
      <c r="BA20" s="389">
        <f t="shared" ref="BA20:BA28" si="32">BA8</f>
        <v>104</v>
      </c>
      <c r="BB20" s="377">
        <f>AZ20/BA20</f>
        <v>0.61538461538461542</v>
      </c>
      <c r="BC20" s="391">
        <f>AZ20+AW20</f>
        <v>95</v>
      </c>
      <c r="BD20" s="389">
        <f>BA20+AX20</f>
        <v>172</v>
      </c>
      <c r="BE20" s="377">
        <f>BC20/BD20</f>
        <v>0.55232558139534882</v>
      </c>
      <c r="BF20" s="486">
        <v>29</v>
      </c>
      <c r="BG20" s="389">
        <f t="shared" ref="BG20:BG28" si="33">BG8</f>
        <v>60</v>
      </c>
      <c r="BH20" s="376">
        <f>BF20/BG20</f>
        <v>0.48333333333333334</v>
      </c>
      <c r="BI20" s="391">
        <v>60</v>
      </c>
      <c r="BJ20" s="389">
        <f t="shared" ref="BJ20:BJ28" si="34">BJ8</f>
        <v>96</v>
      </c>
      <c r="BK20" s="377">
        <f>BI20/BJ20</f>
        <v>0.625</v>
      </c>
      <c r="BL20" s="391">
        <f>BI20+BF20</f>
        <v>89</v>
      </c>
      <c r="BM20" s="389">
        <f>BJ20+BG20</f>
        <v>156</v>
      </c>
      <c r="BN20" s="377">
        <f>BL20/BM20</f>
        <v>0.57051282051282048</v>
      </c>
      <c r="BO20" s="423">
        <v>39</v>
      </c>
      <c r="BP20" s="319">
        <f t="shared" ref="BP20:BP28" si="35">BP8</f>
        <v>84</v>
      </c>
      <c r="BQ20" s="490">
        <f>BO20/BP20</f>
        <v>0.4642857142857143</v>
      </c>
      <c r="BR20" s="318">
        <v>46</v>
      </c>
      <c r="BS20" s="319">
        <f t="shared" ref="BS20:BS28" si="36">BS8</f>
        <v>98</v>
      </c>
      <c r="BT20" s="215">
        <f>BR20/BS20</f>
        <v>0.46938775510204084</v>
      </c>
      <c r="BU20" s="318">
        <f>BR20+BO20</f>
        <v>85</v>
      </c>
      <c r="BV20" s="319">
        <f>BS20+BP20</f>
        <v>182</v>
      </c>
      <c r="BW20" s="215">
        <f>BU20/BV20</f>
        <v>0.46703296703296704</v>
      </c>
      <c r="BX20" s="299"/>
    </row>
    <row r="21" spans="1:76" x14ac:dyDescent="0.2">
      <c r="A21" s="511"/>
      <c r="B21" s="519" t="s">
        <v>15</v>
      </c>
      <c r="C21" s="544"/>
      <c r="D21" s="407">
        <v>0</v>
      </c>
      <c r="E21" s="408">
        <v>0</v>
      </c>
      <c r="F21" s="376" t="s">
        <v>23</v>
      </c>
      <c r="G21" s="388">
        <v>2</v>
      </c>
      <c r="H21" s="389">
        <v>4</v>
      </c>
      <c r="I21" s="376">
        <v>0.5</v>
      </c>
      <c r="J21" s="389">
        <v>2</v>
      </c>
      <c r="K21" s="389">
        <v>4</v>
      </c>
      <c r="L21" s="376">
        <v>0.5</v>
      </c>
      <c r="M21" s="388">
        <v>0</v>
      </c>
      <c r="N21" s="389">
        <v>0</v>
      </c>
      <c r="O21" s="376" t="s">
        <v>23</v>
      </c>
      <c r="P21" s="388">
        <v>0</v>
      </c>
      <c r="Q21" s="389">
        <v>0</v>
      </c>
      <c r="R21" s="376" t="s">
        <v>23</v>
      </c>
      <c r="S21" s="389">
        <v>0</v>
      </c>
      <c r="T21" s="389">
        <v>0</v>
      </c>
      <c r="U21" s="376" t="s">
        <v>23</v>
      </c>
      <c r="V21" s="409">
        <v>5</v>
      </c>
      <c r="W21" s="410">
        <v>5</v>
      </c>
      <c r="X21" s="376">
        <v>1</v>
      </c>
      <c r="Y21" s="391">
        <v>4</v>
      </c>
      <c r="Z21" s="389">
        <v>7</v>
      </c>
      <c r="AA21" s="377">
        <v>0.5714285714285714</v>
      </c>
      <c r="AB21" s="391">
        <v>9</v>
      </c>
      <c r="AC21" s="389">
        <v>12</v>
      </c>
      <c r="AD21" s="377">
        <v>0.75</v>
      </c>
      <c r="AE21" s="391">
        <v>1</v>
      </c>
      <c r="AF21" s="389">
        <f t="shared" si="27"/>
        <v>3</v>
      </c>
      <c r="AG21" s="376">
        <f t="shared" ref="AG21:AG28" si="37">AE21/AF21</f>
        <v>0.33333333333333331</v>
      </c>
      <c r="AH21" s="391">
        <v>6</v>
      </c>
      <c r="AI21" s="389">
        <f t="shared" si="28"/>
        <v>9</v>
      </c>
      <c r="AJ21" s="377">
        <f t="shared" ref="AJ21:AJ28" si="38">AH21/AI21</f>
        <v>0.66666666666666663</v>
      </c>
      <c r="AK21" s="391">
        <f t="shared" ref="AK21:AK28" si="39">AH21+AE21</f>
        <v>7</v>
      </c>
      <c r="AL21" s="389">
        <f t="shared" ref="AL21:AL28" si="40">AI21+AF21</f>
        <v>12</v>
      </c>
      <c r="AM21" s="377">
        <f t="shared" ref="AM21:AM28" si="41">AK21/AL21</f>
        <v>0.58333333333333337</v>
      </c>
      <c r="AN21" s="391">
        <v>2</v>
      </c>
      <c r="AO21" s="389">
        <f t="shared" si="29"/>
        <v>5</v>
      </c>
      <c r="AP21" s="376">
        <f t="shared" ref="AP21:AP28" si="42">AN21/AO21</f>
        <v>0.4</v>
      </c>
      <c r="AQ21" s="391">
        <v>2</v>
      </c>
      <c r="AR21" s="389">
        <f t="shared" si="30"/>
        <v>9</v>
      </c>
      <c r="AS21" s="377">
        <f t="shared" ref="AS21:AS28" si="43">AQ21/AR21</f>
        <v>0.22222222222222221</v>
      </c>
      <c r="AT21" s="391">
        <f t="shared" ref="AT21:AT28" si="44">AQ21+AN21</f>
        <v>4</v>
      </c>
      <c r="AU21" s="389">
        <f t="shared" ref="AU21:AU28" si="45">AR21+AO21</f>
        <v>14</v>
      </c>
      <c r="AV21" s="377">
        <f t="shared" ref="AV21:AV28" si="46">AT21/AU21</f>
        <v>0.2857142857142857</v>
      </c>
      <c r="AW21" s="391">
        <v>2</v>
      </c>
      <c r="AX21" s="389">
        <f t="shared" si="31"/>
        <v>7</v>
      </c>
      <c r="AY21" s="376">
        <f t="shared" ref="AY21:AY23" si="47">AW21/AX21</f>
        <v>0.2857142857142857</v>
      </c>
      <c r="AZ21" s="391">
        <v>5</v>
      </c>
      <c r="BA21" s="389">
        <f t="shared" si="32"/>
        <v>6</v>
      </c>
      <c r="BB21" s="377">
        <f t="shared" ref="BB21:BB28" si="48">AZ21/BA21</f>
        <v>0.83333333333333337</v>
      </c>
      <c r="BC21" s="391">
        <f t="shared" ref="BC21:BC28" si="49">AZ21+AW21</f>
        <v>7</v>
      </c>
      <c r="BD21" s="389">
        <f t="shared" ref="BD21:BD28" si="50">BA21+AX21</f>
        <v>13</v>
      </c>
      <c r="BE21" s="377">
        <f t="shared" ref="BE21:BE28" si="51">BC21/BD21</f>
        <v>0.53846153846153844</v>
      </c>
      <c r="BF21" s="486">
        <v>3</v>
      </c>
      <c r="BG21" s="389">
        <f t="shared" si="33"/>
        <v>3</v>
      </c>
      <c r="BH21" s="376">
        <f t="shared" ref="BH21:BH28" si="52">BF21/BG21</f>
        <v>1</v>
      </c>
      <c r="BI21" s="391">
        <v>3</v>
      </c>
      <c r="BJ21" s="389">
        <f t="shared" si="34"/>
        <v>8</v>
      </c>
      <c r="BK21" s="377">
        <f t="shared" ref="BK21:BK28" si="53">BI21/BJ21</f>
        <v>0.375</v>
      </c>
      <c r="BL21" s="391">
        <f t="shared" ref="BL21:BL28" si="54">BI21+BF21</f>
        <v>6</v>
      </c>
      <c r="BM21" s="389">
        <f t="shared" ref="BM21:BM28" si="55">BJ21+BG21</f>
        <v>11</v>
      </c>
      <c r="BN21" s="377">
        <f t="shared" ref="BN21:BN28" si="56">BL21/BM21</f>
        <v>0.54545454545454541</v>
      </c>
      <c r="BO21" s="423">
        <v>0</v>
      </c>
      <c r="BP21" s="319">
        <f t="shared" si="35"/>
        <v>8</v>
      </c>
      <c r="BQ21" s="490">
        <f t="shared" ref="BQ21:BQ28" si="57">BO21/BP21</f>
        <v>0</v>
      </c>
      <c r="BR21" s="318">
        <v>6</v>
      </c>
      <c r="BS21" s="319">
        <f t="shared" si="36"/>
        <v>12</v>
      </c>
      <c r="BT21" s="215">
        <f t="shared" ref="BT21:BT25" si="58">BR21/BS21</f>
        <v>0.5</v>
      </c>
      <c r="BU21" s="318">
        <f t="shared" ref="BU21:BU28" si="59">BR21+BO21</f>
        <v>6</v>
      </c>
      <c r="BV21" s="319">
        <f t="shared" ref="BV21:BV28" si="60">BS21+BP21</f>
        <v>20</v>
      </c>
      <c r="BW21" s="215">
        <f t="shared" ref="BW21:BW28" si="61">BU21/BV21</f>
        <v>0.3</v>
      </c>
      <c r="BX21" s="299"/>
    </row>
    <row r="22" spans="1:76" x14ac:dyDescent="0.2">
      <c r="A22" s="511"/>
      <c r="B22" s="519" t="s">
        <v>25</v>
      </c>
      <c r="C22" s="544"/>
      <c r="D22" s="407">
        <v>10</v>
      </c>
      <c r="E22" s="408">
        <v>19</v>
      </c>
      <c r="F22" s="376">
        <v>0.52631578947368418</v>
      </c>
      <c r="G22" s="388">
        <v>15</v>
      </c>
      <c r="H22" s="389">
        <v>23</v>
      </c>
      <c r="I22" s="376">
        <v>0.65217391304347827</v>
      </c>
      <c r="J22" s="389">
        <v>25</v>
      </c>
      <c r="K22" s="389">
        <v>42</v>
      </c>
      <c r="L22" s="376">
        <v>0.59523809523809523</v>
      </c>
      <c r="M22" s="388">
        <v>7</v>
      </c>
      <c r="N22" s="389">
        <v>10</v>
      </c>
      <c r="O22" s="376">
        <v>0.7</v>
      </c>
      <c r="P22" s="388">
        <v>20</v>
      </c>
      <c r="Q22" s="389">
        <v>23</v>
      </c>
      <c r="R22" s="377">
        <v>0.86956521739130432</v>
      </c>
      <c r="S22" s="389">
        <v>27</v>
      </c>
      <c r="T22" s="389">
        <v>33</v>
      </c>
      <c r="U22" s="376">
        <v>0.81818181818181823</v>
      </c>
      <c r="V22" s="409">
        <v>6</v>
      </c>
      <c r="W22" s="410">
        <v>16</v>
      </c>
      <c r="X22" s="376">
        <v>0.375</v>
      </c>
      <c r="Y22" s="391">
        <v>12</v>
      </c>
      <c r="Z22" s="389">
        <v>21</v>
      </c>
      <c r="AA22" s="377">
        <v>0.5714285714285714</v>
      </c>
      <c r="AB22" s="391">
        <v>18</v>
      </c>
      <c r="AC22" s="389">
        <v>37</v>
      </c>
      <c r="AD22" s="377">
        <v>0.48648648648648651</v>
      </c>
      <c r="AE22" s="391">
        <v>7</v>
      </c>
      <c r="AF22" s="389">
        <f t="shared" si="27"/>
        <v>12</v>
      </c>
      <c r="AG22" s="376">
        <f t="shared" si="37"/>
        <v>0.58333333333333337</v>
      </c>
      <c r="AH22" s="391">
        <v>23</v>
      </c>
      <c r="AI22" s="389">
        <f t="shared" si="28"/>
        <v>37</v>
      </c>
      <c r="AJ22" s="377">
        <f t="shared" si="38"/>
        <v>0.6216216216216216</v>
      </c>
      <c r="AK22" s="391">
        <f t="shared" si="39"/>
        <v>30</v>
      </c>
      <c r="AL22" s="389">
        <f t="shared" si="40"/>
        <v>49</v>
      </c>
      <c r="AM22" s="377">
        <f t="shared" si="41"/>
        <v>0.61224489795918369</v>
      </c>
      <c r="AN22" s="391">
        <v>10</v>
      </c>
      <c r="AO22" s="389">
        <f t="shared" si="29"/>
        <v>25</v>
      </c>
      <c r="AP22" s="376">
        <f t="shared" si="42"/>
        <v>0.4</v>
      </c>
      <c r="AQ22" s="391">
        <v>19</v>
      </c>
      <c r="AR22" s="389">
        <f t="shared" si="30"/>
        <v>36</v>
      </c>
      <c r="AS22" s="377">
        <f t="shared" si="43"/>
        <v>0.52777777777777779</v>
      </c>
      <c r="AT22" s="391">
        <f t="shared" si="44"/>
        <v>29</v>
      </c>
      <c r="AU22" s="389">
        <f t="shared" si="45"/>
        <v>61</v>
      </c>
      <c r="AV22" s="377">
        <f t="shared" si="46"/>
        <v>0.47540983606557374</v>
      </c>
      <c r="AW22" s="391">
        <v>15</v>
      </c>
      <c r="AX22" s="389">
        <f t="shared" si="31"/>
        <v>24</v>
      </c>
      <c r="AY22" s="376">
        <f t="shared" si="47"/>
        <v>0.625</v>
      </c>
      <c r="AZ22" s="391">
        <v>21</v>
      </c>
      <c r="BA22" s="389">
        <f t="shared" si="32"/>
        <v>32</v>
      </c>
      <c r="BB22" s="377">
        <f t="shared" si="48"/>
        <v>0.65625</v>
      </c>
      <c r="BC22" s="391">
        <f t="shared" si="49"/>
        <v>36</v>
      </c>
      <c r="BD22" s="389">
        <f t="shared" si="50"/>
        <v>56</v>
      </c>
      <c r="BE22" s="377">
        <f t="shared" si="51"/>
        <v>0.6428571428571429</v>
      </c>
      <c r="BF22" s="486">
        <v>7</v>
      </c>
      <c r="BG22" s="389">
        <f t="shared" si="33"/>
        <v>18</v>
      </c>
      <c r="BH22" s="376">
        <f t="shared" si="52"/>
        <v>0.3888888888888889</v>
      </c>
      <c r="BI22" s="391">
        <v>24</v>
      </c>
      <c r="BJ22" s="389">
        <f t="shared" si="34"/>
        <v>35</v>
      </c>
      <c r="BK22" s="377">
        <f t="shared" si="53"/>
        <v>0.68571428571428572</v>
      </c>
      <c r="BL22" s="391">
        <f t="shared" si="54"/>
        <v>31</v>
      </c>
      <c r="BM22" s="389">
        <f t="shared" si="55"/>
        <v>53</v>
      </c>
      <c r="BN22" s="377">
        <f t="shared" si="56"/>
        <v>0.58490566037735847</v>
      </c>
      <c r="BO22" s="423">
        <v>15</v>
      </c>
      <c r="BP22" s="319">
        <f t="shared" si="35"/>
        <v>30</v>
      </c>
      <c r="BQ22" s="490">
        <f t="shared" si="57"/>
        <v>0.5</v>
      </c>
      <c r="BR22" s="318">
        <v>25</v>
      </c>
      <c r="BS22" s="319">
        <f t="shared" si="36"/>
        <v>50</v>
      </c>
      <c r="BT22" s="215">
        <f t="shared" si="58"/>
        <v>0.5</v>
      </c>
      <c r="BU22" s="318">
        <f t="shared" si="59"/>
        <v>40</v>
      </c>
      <c r="BV22" s="319">
        <f t="shared" si="60"/>
        <v>80</v>
      </c>
      <c r="BW22" s="215">
        <f t="shared" si="61"/>
        <v>0.5</v>
      </c>
      <c r="BX22" s="299"/>
    </row>
    <row r="23" spans="1:76" x14ac:dyDescent="0.2">
      <c r="A23" s="511"/>
      <c r="B23" s="519" t="s">
        <v>16</v>
      </c>
      <c r="C23" s="544"/>
      <c r="D23" s="407">
        <v>15</v>
      </c>
      <c r="E23" s="408">
        <v>32</v>
      </c>
      <c r="F23" s="376">
        <v>0.46875</v>
      </c>
      <c r="G23" s="388">
        <v>22</v>
      </c>
      <c r="H23" s="389">
        <v>33</v>
      </c>
      <c r="I23" s="376">
        <v>0.66666666666666663</v>
      </c>
      <c r="J23" s="389">
        <v>37</v>
      </c>
      <c r="K23" s="389">
        <v>65</v>
      </c>
      <c r="L23" s="376">
        <v>0.56923076923076921</v>
      </c>
      <c r="M23" s="388">
        <v>11</v>
      </c>
      <c r="N23" s="389">
        <v>26</v>
      </c>
      <c r="O23" s="376">
        <v>0.42307692307692307</v>
      </c>
      <c r="P23" s="388">
        <v>22</v>
      </c>
      <c r="Q23" s="389">
        <v>36</v>
      </c>
      <c r="R23" s="377">
        <v>0.61111111111111116</v>
      </c>
      <c r="S23" s="389">
        <v>33</v>
      </c>
      <c r="T23" s="389">
        <v>62</v>
      </c>
      <c r="U23" s="376">
        <v>0.532258064516129</v>
      </c>
      <c r="V23" s="409">
        <v>6</v>
      </c>
      <c r="W23" s="410">
        <v>17</v>
      </c>
      <c r="X23" s="376">
        <v>0.35294117647058826</v>
      </c>
      <c r="Y23" s="391">
        <v>18</v>
      </c>
      <c r="Z23" s="389">
        <v>32</v>
      </c>
      <c r="AA23" s="377">
        <v>0.5625</v>
      </c>
      <c r="AB23" s="391">
        <v>24</v>
      </c>
      <c r="AC23" s="389">
        <v>49</v>
      </c>
      <c r="AD23" s="377">
        <v>0.48979591836734693</v>
      </c>
      <c r="AE23" s="391">
        <v>20</v>
      </c>
      <c r="AF23" s="389">
        <f t="shared" si="27"/>
        <v>28</v>
      </c>
      <c r="AG23" s="376">
        <f t="shared" si="37"/>
        <v>0.7142857142857143</v>
      </c>
      <c r="AH23" s="391">
        <v>19</v>
      </c>
      <c r="AI23" s="389">
        <f t="shared" si="28"/>
        <v>30</v>
      </c>
      <c r="AJ23" s="377">
        <f t="shared" si="38"/>
        <v>0.6333333333333333</v>
      </c>
      <c r="AK23" s="391">
        <f t="shared" si="39"/>
        <v>39</v>
      </c>
      <c r="AL23" s="389">
        <f t="shared" si="40"/>
        <v>58</v>
      </c>
      <c r="AM23" s="377">
        <f t="shared" si="41"/>
        <v>0.67241379310344829</v>
      </c>
      <c r="AN23" s="391">
        <v>17</v>
      </c>
      <c r="AO23" s="389">
        <f t="shared" si="29"/>
        <v>28</v>
      </c>
      <c r="AP23" s="376">
        <f t="shared" si="42"/>
        <v>0.6071428571428571</v>
      </c>
      <c r="AQ23" s="391">
        <v>22</v>
      </c>
      <c r="AR23" s="389">
        <f t="shared" si="30"/>
        <v>33</v>
      </c>
      <c r="AS23" s="377">
        <f t="shared" si="43"/>
        <v>0.66666666666666663</v>
      </c>
      <c r="AT23" s="391">
        <f t="shared" si="44"/>
        <v>39</v>
      </c>
      <c r="AU23" s="389">
        <f t="shared" si="45"/>
        <v>61</v>
      </c>
      <c r="AV23" s="377">
        <f t="shared" si="46"/>
        <v>0.63934426229508201</v>
      </c>
      <c r="AW23" s="391">
        <v>16</v>
      </c>
      <c r="AX23" s="389">
        <f t="shared" si="31"/>
        <v>32</v>
      </c>
      <c r="AY23" s="376">
        <f t="shared" si="47"/>
        <v>0.5</v>
      </c>
      <c r="AZ23" s="391">
        <v>20</v>
      </c>
      <c r="BA23" s="389">
        <f t="shared" si="32"/>
        <v>36</v>
      </c>
      <c r="BB23" s="377">
        <f t="shared" si="48"/>
        <v>0.55555555555555558</v>
      </c>
      <c r="BC23" s="391">
        <f t="shared" si="49"/>
        <v>36</v>
      </c>
      <c r="BD23" s="389">
        <f t="shared" si="50"/>
        <v>68</v>
      </c>
      <c r="BE23" s="377">
        <f t="shared" si="51"/>
        <v>0.52941176470588236</v>
      </c>
      <c r="BF23" s="486">
        <v>14</v>
      </c>
      <c r="BG23" s="389">
        <f t="shared" si="33"/>
        <v>36</v>
      </c>
      <c r="BH23" s="376">
        <f t="shared" si="52"/>
        <v>0.3888888888888889</v>
      </c>
      <c r="BI23" s="391">
        <v>28</v>
      </c>
      <c r="BJ23" s="389">
        <f t="shared" si="34"/>
        <v>42</v>
      </c>
      <c r="BK23" s="377">
        <f t="shared" si="53"/>
        <v>0.66666666666666663</v>
      </c>
      <c r="BL23" s="391">
        <f t="shared" si="54"/>
        <v>42</v>
      </c>
      <c r="BM23" s="389">
        <f t="shared" si="55"/>
        <v>78</v>
      </c>
      <c r="BN23" s="377">
        <f t="shared" si="56"/>
        <v>0.53846153846153844</v>
      </c>
      <c r="BO23" s="423">
        <v>20</v>
      </c>
      <c r="BP23" s="319">
        <f t="shared" si="35"/>
        <v>38</v>
      </c>
      <c r="BQ23" s="490">
        <f t="shared" si="57"/>
        <v>0.52631578947368418</v>
      </c>
      <c r="BR23" s="318">
        <v>27</v>
      </c>
      <c r="BS23" s="319">
        <f t="shared" si="36"/>
        <v>50</v>
      </c>
      <c r="BT23" s="215">
        <f t="shared" si="58"/>
        <v>0.54</v>
      </c>
      <c r="BU23" s="318">
        <f t="shared" si="59"/>
        <v>47</v>
      </c>
      <c r="BV23" s="319">
        <f t="shared" si="60"/>
        <v>88</v>
      </c>
      <c r="BW23" s="215">
        <f t="shared" si="61"/>
        <v>0.53409090909090906</v>
      </c>
      <c r="BX23" s="299"/>
    </row>
    <row r="24" spans="1:76" x14ac:dyDescent="0.2">
      <c r="A24" s="511"/>
      <c r="B24" s="369"/>
      <c r="C24" s="481" t="s">
        <v>39</v>
      </c>
      <c r="D24" s="407">
        <v>0</v>
      </c>
      <c r="E24" s="408">
        <v>1</v>
      </c>
      <c r="F24" s="376">
        <v>0</v>
      </c>
      <c r="G24" s="388">
        <v>0</v>
      </c>
      <c r="H24" s="389">
        <v>0</v>
      </c>
      <c r="I24" s="376" t="s">
        <v>23</v>
      </c>
      <c r="J24" s="389">
        <v>0</v>
      </c>
      <c r="K24" s="389">
        <v>1</v>
      </c>
      <c r="L24" s="376">
        <v>0</v>
      </c>
      <c r="M24" s="388">
        <v>1</v>
      </c>
      <c r="N24" s="389">
        <v>2</v>
      </c>
      <c r="O24" s="376">
        <v>0.5</v>
      </c>
      <c r="P24" s="388">
        <v>0</v>
      </c>
      <c r="Q24" s="389">
        <v>0</v>
      </c>
      <c r="R24" s="376" t="s">
        <v>23</v>
      </c>
      <c r="S24" s="389">
        <v>1</v>
      </c>
      <c r="T24" s="389">
        <v>2</v>
      </c>
      <c r="U24" s="376">
        <v>0.5</v>
      </c>
      <c r="V24" s="409">
        <v>0</v>
      </c>
      <c r="W24" s="410">
        <v>0</v>
      </c>
      <c r="X24" s="376" t="s">
        <v>23</v>
      </c>
      <c r="Y24" s="391">
        <v>1</v>
      </c>
      <c r="Z24" s="389">
        <v>1</v>
      </c>
      <c r="AA24" s="377">
        <v>1</v>
      </c>
      <c r="AB24" s="391">
        <v>1</v>
      </c>
      <c r="AC24" s="389">
        <v>1</v>
      </c>
      <c r="AD24" s="377">
        <v>1</v>
      </c>
      <c r="AE24" s="391">
        <v>1</v>
      </c>
      <c r="AF24" s="389">
        <f t="shared" si="27"/>
        <v>2</v>
      </c>
      <c r="AG24" s="376">
        <f t="shared" si="37"/>
        <v>0.5</v>
      </c>
      <c r="AH24" s="391">
        <v>1</v>
      </c>
      <c r="AI24" s="389">
        <f t="shared" si="28"/>
        <v>2</v>
      </c>
      <c r="AJ24" s="377">
        <f t="shared" si="38"/>
        <v>0.5</v>
      </c>
      <c r="AK24" s="391">
        <f t="shared" si="39"/>
        <v>2</v>
      </c>
      <c r="AL24" s="389">
        <f t="shared" si="40"/>
        <v>4</v>
      </c>
      <c r="AM24" s="377">
        <f t="shared" si="41"/>
        <v>0.5</v>
      </c>
      <c r="AN24" s="391">
        <v>1</v>
      </c>
      <c r="AO24" s="389">
        <f t="shared" si="29"/>
        <v>1</v>
      </c>
      <c r="AP24" s="376">
        <f t="shared" si="42"/>
        <v>1</v>
      </c>
      <c r="AQ24" s="391">
        <v>1</v>
      </c>
      <c r="AR24" s="389">
        <f t="shared" si="30"/>
        <v>2</v>
      </c>
      <c r="AS24" s="377">
        <f t="shared" si="43"/>
        <v>0.5</v>
      </c>
      <c r="AT24" s="391">
        <f t="shared" si="44"/>
        <v>2</v>
      </c>
      <c r="AU24" s="389">
        <f t="shared" si="45"/>
        <v>3</v>
      </c>
      <c r="AV24" s="377">
        <f t="shared" si="46"/>
        <v>0.66666666666666663</v>
      </c>
      <c r="AW24" s="391">
        <v>0</v>
      </c>
      <c r="AX24" s="389">
        <f t="shared" si="31"/>
        <v>0</v>
      </c>
      <c r="AY24" s="376" t="s">
        <v>60</v>
      </c>
      <c r="AZ24" s="391">
        <v>1</v>
      </c>
      <c r="BA24" s="389">
        <f t="shared" si="32"/>
        <v>2</v>
      </c>
      <c r="BB24" s="377">
        <f t="shared" si="48"/>
        <v>0.5</v>
      </c>
      <c r="BC24" s="391">
        <f t="shared" si="49"/>
        <v>1</v>
      </c>
      <c r="BD24" s="389">
        <f t="shared" si="50"/>
        <v>2</v>
      </c>
      <c r="BE24" s="377">
        <f t="shared" si="51"/>
        <v>0.5</v>
      </c>
      <c r="BF24" s="486">
        <v>1</v>
      </c>
      <c r="BG24" s="389">
        <f t="shared" si="33"/>
        <v>1</v>
      </c>
      <c r="BH24" s="376">
        <f t="shared" si="52"/>
        <v>1</v>
      </c>
      <c r="BI24" s="391">
        <v>0</v>
      </c>
      <c r="BJ24" s="389">
        <f t="shared" si="34"/>
        <v>0</v>
      </c>
      <c r="BK24" s="377" t="s">
        <v>60</v>
      </c>
      <c r="BL24" s="391">
        <f t="shared" si="54"/>
        <v>1</v>
      </c>
      <c r="BM24" s="389">
        <f t="shared" si="55"/>
        <v>1</v>
      </c>
      <c r="BN24" s="377">
        <f t="shared" si="56"/>
        <v>1</v>
      </c>
      <c r="BO24" s="423">
        <v>0</v>
      </c>
      <c r="BP24" s="319">
        <f t="shared" si="35"/>
        <v>0</v>
      </c>
      <c r="BQ24" s="490" t="s">
        <v>60</v>
      </c>
      <c r="BR24" s="318">
        <v>0</v>
      </c>
      <c r="BS24" s="319">
        <f t="shared" si="36"/>
        <v>2</v>
      </c>
      <c r="BT24" s="215">
        <f t="shared" si="58"/>
        <v>0</v>
      </c>
      <c r="BU24" s="318">
        <f t="shared" si="59"/>
        <v>0</v>
      </c>
      <c r="BV24" s="319">
        <f t="shared" si="60"/>
        <v>2</v>
      </c>
      <c r="BW24" s="215">
        <f t="shared" si="61"/>
        <v>0</v>
      </c>
      <c r="BX24" s="299"/>
    </row>
    <row r="25" spans="1:76" x14ac:dyDescent="0.2">
      <c r="A25" s="511"/>
      <c r="B25" s="492"/>
      <c r="C25" s="481" t="s">
        <v>11</v>
      </c>
      <c r="D25" s="411">
        <v>224</v>
      </c>
      <c r="E25" s="412">
        <v>354</v>
      </c>
      <c r="F25" s="376">
        <v>0.63276836158192096</v>
      </c>
      <c r="G25" s="388">
        <v>378</v>
      </c>
      <c r="H25" s="389">
        <v>528</v>
      </c>
      <c r="I25" s="376">
        <v>0.71590909090909094</v>
      </c>
      <c r="J25" s="389">
        <v>602</v>
      </c>
      <c r="K25" s="389">
        <v>882</v>
      </c>
      <c r="L25" s="376">
        <v>0.68253968253968256</v>
      </c>
      <c r="M25" s="388">
        <v>228</v>
      </c>
      <c r="N25" s="389">
        <v>364</v>
      </c>
      <c r="O25" s="376">
        <v>0.62637362637362637</v>
      </c>
      <c r="P25" s="388">
        <v>408</v>
      </c>
      <c r="Q25" s="389">
        <v>542</v>
      </c>
      <c r="R25" s="377">
        <v>0.75276752767527677</v>
      </c>
      <c r="S25" s="389">
        <v>636</v>
      </c>
      <c r="T25" s="389">
        <v>906</v>
      </c>
      <c r="U25" s="376">
        <v>0.70198675496688745</v>
      </c>
      <c r="V25" s="409">
        <v>204</v>
      </c>
      <c r="W25" s="410">
        <v>312</v>
      </c>
      <c r="X25" s="376">
        <v>0.65384615384615385</v>
      </c>
      <c r="Y25" s="391">
        <v>400</v>
      </c>
      <c r="Z25" s="389">
        <v>559</v>
      </c>
      <c r="AA25" s="377">
        <v>0.7155635062611807</v>
      </c>
      <c r="AB25" s="391">
        <v>604</v>
      </c>
      <c r="AC25" s="389">
        <v>871</v>
      </c>
      <c r="AD25" s="377">
        <v>0.69345579793340983</v>
      </c>
      <c r="AE25" s="391">
        <f>160+78</f>
        <v>238</v>
      </c>
      <c r="AF25" s="389">
        <f t="shared" si="27"/>
        <v>364</v>
      </c>
      <c r="AG25" s="376">
        <f t="shared" si="37"/>
        <v>0.65384615384615385</v>
      </c>
      <c r="AH25" s="391">
        <f>312+81</f>
        <v>393</v>
      </c>
      <c r="AI25" s="389">
        <f t="shared" si="28"/>
        <v>512</v>
      </c>
      <c r="AJ25" s="377">
        <f t="shared" si="38"/>
        <v>0.767578125</v>
      </c>
      <c r="AK25" s="391">
        <f t="shared" si="39"/>
        <v>631</v>
      </c>
      <c r="AL25" s="389">
        <f t="shared" si="40"/>
        <v>876</v>
      </c>
      <c r="AM25" s="377">
        <f t="shared" si="41"/>
        <v>0.72031963470319638</v>
      </c>
      <c r="AN25" s="391">
        <v>252</v>
      </c>
      <c r="AO25" s="389">
        <f t="shared" si="29"/>
        <v>401</v>
      </c>
      <c r="AP25" s="376">
        <f t="shared" si="42"/>
        <v>0.62842892768079806</v>
      </c>
      <c r="AQ25" s="391">
        <v>417</v>
      </c>
      <c r="AR25" s="389">
        <f t="shared" si="30"/>
        <v>566</v>
      </c>
      <c r="AS25" s="377">
        <f t="shared" si="43"/>
        <v>0.73674911660777387</v>
      </c>
      <c r="AT25" s="391">
        <f t="shared" si="44"/>
        <v>669</v>
      </c>
      <c r="AU25" s="389">
        <f t="shared" si="45"/>
        <v>967</v>
      </c>
      <c r="AV25" s="377">
        <f t="shared" si="46"/>
        <v>0.69183040330920376</v>
      </c>
      <c r="AW25" s="391">
        <v>258</v>
      </c>
      <c r="AX25" s="389">
        <f t="shared" si="31"/>
        <v>396</v>
      </c>
      <c r="AY25" s="376">
        <f t="shared" ref="AY25:AY28" si="62">AW25/AX25</f>
        <v>0.65151515151515149</v>
      </c>
      <c r="AZ25" s="391">
        <v>392</v>
      </c>
      <c r="BA25" s="389">
        <f t="shared" si="32"/>
        <v>555</v>
      </c>
      <c r="BB25" s="377">
        <f t="shared" si="48"/>
        <v>0.70630630630630631</v>
      </c>
      <c r="BC25" s="391">
        <f t="shared" si="49"/>
        <v>650</v>
      </c>
      <c r="BD25" s="389">
        <f t="shared" si="50"/>
        <v>951</v>
      </c>
      <c r="BE25" s="377">
        <f t="shared" si="51"/>
        <v>0.68349106203995791</v>
      </c>
      <c r="BF25" s="486">
        <v>245</v>
      </c>
      <c r="BG25" s="389">
        <f t="shared" si="33"/>
        <v>393</v>
      </c>
      <c r="BH25" s="376">
        <f t="shared" si="52"/>
        <v>0.62340966921119589</v>
      </c>
      <c r="BI25" s="391">
        <v>386</v>
      </c>
      <c r="BJ25" s="389">
        <f t="shared" si="34"/>
        <v>531</v>
      </c>
      <c r="BK25" s="377">
        <f t="shared" si="53"/>
        <v>0.72693032015065917</v>
      </c>
      <c r="BL25" s="391">
        <f t="shared" si="54"/>
        <v>631</v>
      </c>
      <c r="BM25" s="389">
        <f t="shared" si="55"/>
        <v>924</v>
      </c>
      <c r="BN25" s="377">
        <f t="shared" si="56"/>
        <v>0.6829004329004329</v>
      </c>
      <c r="BO25" s="423">
        <v>265</v>
      </c>
      <c r="BP25" s="319">
        <f t="shared" si="35"/>
        <v>463</v>
      </c>
      <c r="BQ25" s="490">
        <f t="shared" si="57"/>
        <v>0.57235421166306699</v>
      </c>
      <c r="BR25" s="318">
        <v>390</v>
      </c>
      <c r="BS25" s="319">
        <f t="shared" si="36"/>
        <v>574</v>
      </c>
      <c r="BT25" s="215">
        <f t="shared" si="58"/>
        <v>0.67944250871080136</v>
      </c>
      <c r="BU25" s="318">
        <f t="shared" si="59"/>
        <v>655</v>
      </c>
      <c r="BV25" s="319">
        <f t="shared" si="60"/>
        <v>1037</v>
      </c>
      <c r="BW25" s="215">
        <f t="shared" si="61"/>
        <v>0.63162970106075222</v>
      </c>
      <c r="BX25" s="299"/>
    </row>
    <row r="26" spans="1:76" x14ac:dyDescent="0.2">
      <c r="A26" s="511"/>
      <c r="B26" s="519" t="s">
        <v>18</v>
      </c>
      <c r="C26" s="544"/>
      <c r="D26" s="407">
        <v>4</v>
      </c>
      <c r="E26" s="408">
        <v>7</v>
      </c>
      <c r="F26" s="376">
        <v>0.5714285714285714</v>
      </c>
      <c r="G26" s="388">
        <v>5</v>
      </c>
      <c r="H26" s="389">
        <v>7</v>
      </c>
      <c r="I26" s="376">
        <v>0.7142857142857143</v>
      </c>
      <c r="J26" s="389">
        <v>9</v>
      </c>
      <c r="K26" s="389">
        <v>14</v>
      </c>
      <c r="L26" s="376">
        <v>0.6428571428571429</v>
      </c>
      <c r="M26" s="388">
        <v>5</v>
      </c>
      <c r="N26" s="389">
        <v>12</v>
      </c>
      <c r="O26" s="376">
        <v>0.41666666666666669</v>
      </c>
      <c r="P26" s="388">
        <v>1</v>
      </c>
      <c r="Q26" s="389">
        <v>3</v>
      </c>
      <c r="R26" s="377">
        <v>0.33333333333333331</v>
      </c>
      <c r="S26" s="389">
        <v>6</v>
      </c>
      <c r="T26" s="389">
        <v>15</v>
      </c>
      <c r="U26" s="376">
        <v>0.4</v>
      </c>
      <c r="V26" s="409">
        <v>2</v>
      </c>
      <c r="W26" s="410">
        <v>2</v>
      </c>
      <c r="X26" s="376">
        <v>1</v>
      </c>
      <c r="Y26" s="391">
        <v>3</v>
      </c>
      <c r="Z26" s="389">
        <v>8</v>
      </c>
      <c r="AA26" s="377">
        <v>0.375</v>
      </c>
      <c r="AB26" s="391">
        <v>5</v>
      </c>
      <c r="AC26" s="389">
        <v>10</v>
      </c>
      <c r="AD26" s="377">
        <v>0.5</v>
      </c>
      <c r="AE26" s="391">
        <v>2</v>
      </c>
      <c r="AF26" s="389">
        <f t="shared" si="27"/>
        <v>2</v>
      </c>
      <c r="AG26" s="376">
        <f t="shared" si="37"/>
        <v>1</v>
      </c>
      <c r="AH26" s="391">
        <v>2</v>
      </c>
      <c r="AI26" s="389">
        <f t="shared" si="28"/>
        <v>4</v>
      </c>
      <c r="AJ26" s="377">
        <f t="shared" si="38"/>
        <v>0.5</v>
      </c>
      <c r="AK26" s="391">
        <f t="shared" si="39"/>
        <v>4</v>
      </c>
      <c r="AL26" s="389">
        <f t="shared" si="40"/>
        <v>6</v>
      </c>
      <c r="AM26" s="377">
        <f t="shared" si="41"/>
        <v>0.66666666666666663</v>
      </c>
      <c r="AN26" s="391">
        <v>3</v>
      </c>
      <c r="AO26" s="389">
        <f t="shared" si="29"/>
        <v>5</v>
      </c>
      <c r="AP26" s="376">
        <f t="shared" si="42"/>
        <v>0.6</v>
      </c>
      <c r="AQ26" s="391">
        <v>1</v>
      </c>
      <c r="AR26" s="389">
        <f t="shared" si="30"/>
        <v>2</v>
      </c>
      <c r="AS26" s="377">
        <f t="shared" si="43"/>
        <v>0.5</v>
      </c>
      <c r="AT26" s="391">
        <f t="shared" si="44"/>
        <v>4</v>
      </c>
      <c r="AU26" s="389">
        <f t="shared" si="45"/>
        <v>7</v>
      </c>
      <c r="AV26" s="377">
        <f t="shared" si="46"/>
        <v>0.5714285714285714</v>
      </c>
      <c r="AW26" s="391">
        <v>2</v>
      </c>
      <c r="AX26" s="389">
        <f t="shared" si="31"/>
        <v>4</v>
      </c>
      <c r="AY26" s="376">
        <f t="shared" si="62"/>
        <v>0.5</v>
      </c>
      <c r="AZ26" s="391">
        <v>3</v>
      </c>
      <c r="BA26" s="389">
        <f t="shared" si="32"/>
        <v>4</v>
      </c>
      <c r="BB26" s="377">
        <f t="shared" si="48"/>
        <v>0.75</v>
      </c>
      <c r="BC26" s="391">
        <f t="shared" si="49"/>
        <v>5</v>
      </c>
      <c r="BD26" s="389">
        <f t="shared" si="50"/>
        <v>8</v>
      </c>
      <c r="BE26" s="377">
        <f t="shared" si="51"/>
        <v>0.625</v>
      </c>
      <c r="BF26" s="486">
        <v>4</v>
      </c>
      <c r="BG26" s="389">
        <f t="shared" si="33"/>
        <v>6</v>
      </c>
      <c r="BH26" s="376">
        <f t="shared" si="52"/>
        <v>0.66666666666666663</v>
      </c>
      <c r="BI26" s="391">
        <v>0</v>
      </c>
      <c r="BJ26" s="389">
        <f t="shared" si="34"/>
        <v>1</v>
      </c>
      <c r="BK26" s="377">
        <f t="shared" si="53"/>
        <v>0</v>
      </c>
      <c r="BL26" s="391">
        <f t="shared" si="54"/>
        <v>4</v>
      </c>
      <c r="BM26" s="389">
        <f t="shared" si="55"/>
        <v>7</v>
      </c>
      <c r="BN26" s="377">
        <f t="shared" si="56"/>
        <v>0.5714285714285714</v>
      </c>
      <c r="BO26" s="423">
        <v>1</v>
      </c>
      <c r="BP26" s="319">
        <f t="shared" si="35"/>
        <v>1</v>
      </c>
      <c r="BQ26" s="490">
        <f t="shared" si="57"/>
        <v>1</v>
      </c>
      <c r="BR26" s="318">
        <v>3</v>
      </c>
      <c r="BS26" s="319">
        <f t="shared" si="36"/>
        <v>4</v>
      </c>
      <c r="BT26" s="215">
        <f t="shared" ref="BT26:BT28" si="63">BR26/BS26</f>
        <v>0.75</v>
      </c>
      <c r="BU26" s="318">
        <f t="shared" si="59"/>
        <v>4</v>
      </c>
      <c r="BV26" s="319">
        <f t="shared" si="60"/>
        <v>5</v>
      </c>
      <c r="BW26" s="215">
        <f t="shared" si="61"/>
        <v>0.8</v>
      </c>
      <c r="BX26" s="299"/>
    </row>
    <row r="27" spans="1:76" x14ac:dyDescent="0.2">
      <c r="A27" s="511"/>
      <c r="B27" s="369"/>
      <c r="C27" s="481" t="s">
        <v>24</v>
      </c>
      <c r="D27" s="413">
        <v>11</v>
      </c>
      <c r="E27" s="414">
        <v>18</v>
      </c>
      <c r="F27" s="376">
        <v>0.61111111111111116</v>
      </c>
      <c r="G27" s="388">
        <v>21</v>
      </c>
      <c r="H27" s="389">
        <v>36</v>
      </c>
      <c r="I27" s="376">
        <v>0.58333333333333337</v>
      </c>
      <c r="J27" s="389">
        <v>32</v>
      </c>
      <c r="K27" s="389">
        <v>54</v>
      </c>
      <c r="L27" s="376">
        <v>0.59259259259259256</v>
      </c>
      <c r="M27" s="388">
        <v>17</v>
      </c>
      <c r="N27" s="389">
        <v>24</v>
      </c>
      <c r="O27" s="376">
        <v>0.70833333333333337</v>
      </c>
      <c r="P27" s="388">
        <v>17</v>
      </c>
      <c r="Q27" s="389">
        <v>31</v>
      </c>
      <c r="R27" s="377">
        <v>0.54838709677419351</v>
      </c>
      <c r="S27" s="389">
        <v>34</v>
      </c>
      <c r="T27" s="389">
        <v>55</v>
      </c>
      <c r="U27" s="376">
        <v>0.61818181818181817</v>
      </c>
      <c r="V27" s="409">
        <v>3</v>
      </c>
      <c r="W27" s="410">
        <v>5</v>
      </c>
      <c r="X27" s="376">
        <v>0.6</v>
      </c>
      <c r="Y27" s="391">
        <v>6</v>
      </c>
      <c r="Z27" s="389">
        <v>13</v>
      </c>
      <c r="AA27" s="377">
        <v>0.46153846153846156</v>
      </c>
      <c r="AB27" s="391">
        <v>9</v>
      </c>
      <c r="AC27" s="389">
        <v>18</v>
      </c>
      <c r="AD27" s="377">
        <v>0.5</v>
      </c>
      <c r="AE27" s="391">
        <v>0</v>
      </c>
      <c r="AF27" s="389">
        <f t="shared" si="27"/>
        <v>4</v>
      </c>
      <c r="AG27" s="376">
        <f t="shared" si="37"/>
        <v>0</v>
      </c>
      <c r="AH27" s="391">
        <v>5</v>
      </c>
      <c r="AI27" s="389">
        <f t="shared" si="28"/>
        <v>6</v>
      </c>
      <c r="AJ27" s="377">
        <f t="shared" si="38"/>
        <v>0.83333333333333337</v>
      </c>
      <c r="AK27" s="391">
        <f t="shared" si="39"/>
        <v>5</v>
      </c>
      <c r="AL27" s="389">
        <f t="shared" si="40"/>
        <v>10</v>
      </c>
      <c r="AM27" s="377">
        <f t="shared" si="41"/>
        <v>0.5</v>
      </c>
      <c r="AN27" s="391">
        <v>3</v>
      </c>
      <c r="AO27" s="389">
        <f t="shared" si="29"/>
        <v>8</v>
      </c>
      <c r="AP27" s="376">
        <f t="shared" si="42"/>
        <v>0.375</v>
      </c>
      <c r="AQ27" s="391">
        <v>13</v>
      </c>
      <c r="AR27" s="389">
        <f t="shared" si="30"/>
        <v>20</v>
      </c>
      <c r="AS27" s="377">
        <f t="shared" si="43"/>
        <v>0.65</v>
      </c>
      <c r="AT27" s="391">
        <f t="shared" si="44"/>
        <v>16</v>
      </c>
      <c r="AU27" s="389">
        <f t="shared" si="45"/>
        <v>28</v>
      </c>
      <c r="AV27" s="377">
        <f t="shared" si="46"/>
        <v>0.5714285714285714</v>
      </c>
      <c r="AW27" s="391">
        <v>2</v>
      </c>
      <c r="AX27" s="389">
        <f t="shared" si="31"/>
        <v>4</v>
      </c>
      <c r="AY27" s="376">
        <f t="shared" si="62"/>
        <v>0.5</v>
      </c>
      <c r="AZ27" s="391">
        <v>3</v>
      </c>
      <c r="BA27" s="389">
        <f t="shared" si="32"/>
        <v>10</v>
      </c>
      <c r="BB27" s="377">
        <f t="shared" si="48"/>
        <v>0.3</v>
      </c>
      <c r="BC27" s="391">
        <f t="shared" si="49"/>
        <v>5</v>
      </c>
      <c r="BD27" s="389">
        <f t="shared" si="50"/>
        <v>14</v>
      </c>
      <c r="BE27" s="377">
        <f t="shared" si="51"/>
        <v>0.35714285714285715</v>
      </c>
      <c r="BF27" s="486">
        <v>6</v>
      </c>
      <c r="BG27" s="389">
        <f t="shared" si="33"/>
        <v>11</v>
      </c>
      <c r="BH27" s="376">
        <f t="shared" si="52"/>
        <v>0.54545454545454541</v>
      </c>
      <c r="BI27" s="391">
        <v>4</v>
      </c>
      <c r="BJ27" s="389">
        <f t="shared" si="34"/>
        <v>9</v>
      </c>
      <c r="BK27" s="377">
        <f t="shared" si="53"/>
        <v>0.44444444444444442</v>
      </c>
      <c r="BL27" s="391">
        <f t="shared" si="54"/>
        <v>10</v>
      </c>
      <c r="BM27" s="389">
        <f t="shared" si="55"/>
        <v>20</v>
      </c>
      <c r="BN27" s="377">
        <f t="shared" si="56"/>
        <v>0.5</v>
      </c>
      <c r="BO27" s="423">
        <v>3</v>
      </c>
      <c r="BP27" s="319">
        <f t="shared" si="35"/>
        <v>6</v>
      </c>
      <c r="BQ27" s="490">
        <f t="shared" si="57"/>
        <v>0.5</v>
      </c>
      <c r="BR27" s="318">
        <v>5</v>
      </c>
      <c r="BS27" s="319">
        <f t="shared" si="36"/>
        <v>9</v>
      </c>
      <c r="BT27" s="215">
        <f t="shared" si="63"/>
        <v>0.55555555555555558</v>
      </c>
      <c r="BU27" s="318">
        <f t="shared" si="59"/>
        <v>8</v>
      </c>
      <c r="BV27" s="319">
        <f t="shared" si="60"/>
        <v>15</v>
      </c>
      <c r="BW27" s="215">
        <f t="shared" si="61"/>
        <v>0.53333333333333333</v>
      </c>
      <c r="BX27" s="299"/>
    </row>
    <row r="28" spans="1:76" x14ac:dyDescent="0.2">
      <c r="A28" s="511"/>
      <c r="B28" s="493"/>
      <c r="C28" s="466" t="s">
        <v>19</v>
      </c>
      <c r="D28" s="415">
        <v>13</v>
      </c>
      <c r="E28" s="416">
        <v>24</v>
      </c>
      <c r="F28" s="400">
        <v>0.54166666666666663</v>
      </c>
      <c r="G28" s="401">
        <v>23</v>
      </c>
      <c r="H28" s="402">
        <v>35</v>
      </c>
      <c r="I28" s="400">
        <v>0.65714285714285714</v>
      </c>
      <c r="J28" s="402">
        <v>36</v>
      </c>
      <c r="K28" s="402">
        <v>59</v>
      </c>
      <c r="L28" s="400">
        <v>0.61016949152542377</v>
      </c>
      <c r="M28" s="401">
        <v>20</v>
      </c>
      <c r="N28" s="402">
        <v>35</v>
      </c>
      <c r="O28" s="400">
        <v>0.5714285714285714</v>
      </c>
      <c r="P28" s="401">
        <v>25</v>
      </c>
      <c r="Q28" s="402">
        <v>35</v>
      </c>
      <c r="R28" s="405">
        <v>0.7142857142857143</v>
      </c>
      <c r="S28" s="402">
        <v>45</v>
      </c>
      <c r="T28" s="402">
        <v>70</v>
      </c>
      <c r="U28" s="400">
        <v>0.6428571428571429</v>
      </c>
      <c r="V28" s="417">
        <v>7</v>
      </c>
      <c r="W28" s="418">
        <v>12</v>
      </c>
      <c r="X28" s="400">
        <v>0.58333333333333337</v>
      </c>
      <c r="Y28" s="404">
        <v>9</v>
      </c>
      <c r="Z28" s="402">
        <v>13</v>
      </c>
      <c r="AA28" s="405">
        <v>0.69230769230769229</v>
      </c>
      <c r="AB28" s="404">
        <v>16</v>
      </c>
      <c r="AC28" s="402">
        <v>25</v>
      </c>
      <c r="AD28" s="405">
        <v>0.64</v>
      </c>
      <c r="AE28" s="404">
        <v>11</v>
      </c>
      <c r="AF28" s="402">
        <f t="shared" si="27"/>
        <v>21</v>
      </c>
      <c r="AG28" s="400">
        <f t="shared" si="37"/>
        <v>0.52380952380952384</v>
      </c>
      <c r="AH28" s="404">
        <v>14</v>
      </c>
      <c r="AI28" s="402">
        <f t="shared" si="28"/>
        <v>19</v>
      </c>
      <c r="AJ28" s="405">
        <f t="shared" si="38"/>
        <v>0.73684210526315785</v>
      </c>
      <c r="AK28" s="404">
        <f t="shared" si="39"/>
        <v>25</v>
      </c>
      <c r="AL28" s="402">
        <f t="shared" si="40"/>
        <v>40</v>
      </c>
      <c r="AM28" s="405">
        <f t="shared" si="41"/>
        <v>0.625</v>
      </c>
      <c r="AN28" s="404">
        <v>10</v>
      </c>
      <c r="AO28" s="402">
        <f t="shared" si="29"/>
        <v>17</v>
      </c>
      <c r="AP28" s="400">
        <f t="shared" si="42"/>
        <v>0.58823529411764708</v>
      </c>
      <c r="AQ28" s="404">
        <v>17</v>
      </c>
      <c r="AR28" s="402">
        <f t="shared" si="30"/>
        <v>20</v>
      </c>
      <c r="AS28" s="405">
        <f t="shared" si="43"/>
        <v>0.85</v>
      </c>
      <c r="AT28" s="404">
        <f t="shared" si="44"/>
        <v>27</v>
      </c>
      <c r="AU28" s="402">
        <f t="shared" si="45"/>
        <v>37</v>
      </c>
      <c r="AV28" s="405">
        <f t="shared" si="46"/>
        <v>0.72972972972972971</v>
      </c>
      <c r="AW28" s="404">
        <v>14</v>
      </c>
      <c r="AX28" s="402">
        <f t="shared" si="31"/>
        <v>20</v>
      </c>
      <c r="AY28" s="400">
        <f t="shared" si="62"/>
        <v>0.7</v>
      </c>
      <c r="AZ28" s="404">
        <v>16</v>
      </c>
      <c r="BA28" s="402">
        <f t="shared" si="32"/>
        <v>20</v>
      </c>
      <c r="BB28" s="405">
        <f t="shared" si="48"/>
        <v>0.8</v>
      </c>
      <c r="BC28" s="404">
        <f t="shared" si="49"/>
        <v>30</v>
      </c>
      <c r="BD28" s="402">
        <f t="shared" si="50"/>
        <v>40</v>
      </c>
      <c r="BE28" s="405">
        <f t="shared" si="51"/>
        <v>0.75</v>
      </c>
      <c r="BF28" s="487">
        <v>10</v>
      </c>
      <c r="BG28" s="402">
        <f t="shared" si="33"/>
        <v>15</v>
      </c>
      <c r="BH28" s="400">
        <f t="shared" si="52"/>
        <v>0.66666666666666663</v>
      </c>
      <c r="BI28" s="404">
        <v>15</v>
      </c>
      <c r="BJ28" s="402">
        <f t="shared" si="34"/>
        <v>19</v>
      </c>
      <c r="BK28" s="405">
        <f t="shared" si="53"/>
        <v>0.78947368421052633</v>
      </c>
      <c r="BL28" s="404">
        <f t="shared" si="54"/>
        <v>25</v>
      </c>
      <c r="BM28" s="402">
        <f t="shared" si="55"/>
        <v>34</v>
      </c>
      <c r="BN28" s="405">
        <f t="shared" si="56"/>
        <v>0.73529411764705888</v>
      </c>
      <c r="BO28" s="424">
        <v>13</v>
      </c>
      <c r="BP28" s="321">
        <f t="shared" si="35"/>
        <v>25</v>
      </c>
      <c r="BQ28" s="491">
        <f t="shared" si="57"/>
        <v>0.52</v>
      </c>
      <c r="BR28" s="320">
        <v>7</v>
      </c>
      <c r="BS28" s="321">
        <f t="shared" si="36"/>
        <v>12</v>
      </c>
      <c r="BT28" s="322">
        <f t="shared" si="63"/>
        <v>0.58333333333333337</v>
      </c>
      <c r="BU28" s="320">
        <f t="shared" si="59"/>
        <v>20</v>
      </c>
      <c r="BV28" s="321">
        <f t="shared" si="60"/>
        <v>37</v>
      </c>
      <c r="BW28" s="322">
        <f t="shared" si="61"/>
        <v>0.54054054054054057</v>
      </c>
      <c r="BX28" s="299"/>
    </row>
    <row r="29" spans="1:76" x14ac:dyDescent="0.2">
      <c r="A29" s="511"/>
      <c r="B29" s="566"/>
      <c r="C29" s="567" t="s">
        <v>12</v>
      </c>
      <c r="D29" s="580">
        <f>SUM(D20:D28)</f>
        <v>294</v>
      </c>
      <c r="E29" s="581">
        <f>SUM(E20:E28)</f>
        <v>497</v>
      </c>
      <c r="F29" s="323">
        <v>0.59154929577464788</v>
      </c>
      <c r="G29" s="570">
        <v>509</v>
      </c>
      <c r="H29" s="571">
        <v>731</v>
      </c>
      <c r="I29" s="323">
        <v>0.69630642954856359</v>
      </c>
      <c r="J29" s="571">
        <v>803</v>
      </c>
      <c r="K29" s="571">
        <v>1228</v>
      </c>
      <c r="L29" s="323">
        <v>0.65390879478827357</v>
      </c>
      <c r="M29" s="570">
        <v>309</v>
      </c>
      <c r="N29" s="571">
        <v>507</v>
      </c>
      <c r="O29" s="323">
        <v>0.60946745562130178</v>
      </c>
      <c r="P29" s="570">
        <v>530</v>
      </c>
      <c r="Q29" s="571">
        <v>732</v>
      </c>
      <c r="R29" s="326">
        <v>0.72404371584699456</v>
      </c>
      <c r="S29" s="571">
        <v>839</v>
      </c>
      <c r="T29" s="571">
        <v>1239</v>
      </c>
      <c r="U29" s="323">
        <v>0.67715899919289746</v>
      </c>
      <c r="V29" s="582">
        <v>252</v>
      </c>
      <c r="W29" s="583">
        <v>418</v>
      </c>
      <c r="X29" s="323">
        <v>0.60287081339712922</v>
      </c>
      <c r="Y29" s="573">
        <v>501</v>
      </c>
      <c r="Z29" s="571">
        <v>722</v>
      </c>
      <c r="AA29" s="326">
        <v>0.69390581717451527</v>
      </c>
      <c r="AB29" s="573">
        <v>753</v>
      </c>
      <c r="AC29" s="571">
        <v>1140</v>
      </c>
      <c r="AD29" s="326">
        <v>0.66052631578947374</v>
      </c>
      <c r="AE29" s="573">
        <f>SUM(AE20:AE28)</f>
        <v>302</v>
      </c>
      <c r="AF29" s="571">
        <f>SUM(AF20:AF28)</f>
        <v>487</v>
      </c>
      <c r="AG29" s="323">
        <f>AE29/AF29</f>
        <v>0.62012320328542092</v>
      </c>
      <c r="AH29" s="573">
        <f>SUM(AH20:AH28)</f>
        <v>517</v>
      </c>
      <c r="AI29" s="571">
        <f>SUM(AI20:AI28)</f>
        <v>698</v>
      </c>
      <c r="AJ29" s="326">
        <f>AH29/AI29</f>
        <v>0.74068767908309452</v>
      </c>
      <c r="AK29" s="573">
        <f>SUM(AK20:AK28)</f>
        <v>819</v>
      </c>
      <c r="AL29" s="571">
        <f>SUM(AL20:AL28)</f>
        <v>1185</v>
      </c>
      <c r="AM29" s="326">
        <f>AK29/AL29</f>
        <v>0.69113924050632913</v>
      </c>
      <c r="AN29" s="573">
        <f>SUM(AN20:AN28)</f>
        <v>326</v>
      </c>
      <c r="AO29" s="571">
        <f>SUM(AO20:AO28)</f>
        <v>540</v>
      </c>
      <c r="AP29" s="323">
        <f>AN29/AO29</f>
        <v>0.60370370370370374</v>
      </c>
      <c r="AQ29" s="573">
        <f>SUM(AQ20:AQ28)</f>
        <v>553</v>
      </c>
      <c r="AR29" s="571">
        <f>SUM(AR20:AR28)</f>
        <v>787</v>
      </c>
      <c r="AS29" s="326">
        <f>AQ29/AR29</f>
        <v>0.70266836086404061</v>
      </c>
      <c r="AT29" s="573">
        <f>SUM(AT20:AT28)</f>
        <v>879</v>
      </c>
      <c r="AU29" s="571">
        <f>SUM(AU20:AU28)</f>
        <v>1327</v>
      </c>
      <c r="AV29" s="326">
        <f>AT29/AU29</f>
        <v>0.66239638281838731</v>
      </c>
      <c r="AW29" s="573">
        <f>SUM(AW20:AW28)</f>
        <v>340</v>
      </c>
      <c r="AX29" s="584">
        <f>SUM(AX20:AX28)</f>
        <v>555</v>
      </c>
      <c r="AY29" s="332">
        <f>AW29/AX29</f>
        <v>0.61261261261261257</v>
      </c>
      <c r="AZ29" s="354">
        <f>SUM(AZ20:AZ28)</f>
        <v>525</v>
      </c>
      <c r="BA29" s="334">
        <f>SUM(BA20:BA28)</f>
        <v>769</v>
      </c>
      <c r="BB29" s="335">
        <f>AZ29/BA29</f>
        <v>0.68270481144343298</v>
      </c>
      <c r="BC29" s="354">
        <f>SUM(BC20:BC28)</f>
        <v>865</v>
      </c>
      <c r="BD29" s="334">
        <f>SUM(BD20:BD28)</f>
        <v>1324</v>
      </c>
      <c r="BE29" s="335">
        <f>BC29/BD29</f>
        <v>0.65332326283987918</v>
      </c>
      <c r="BF29" s="488">
        <f>SUM(BF20:BF28)</f>
        <v>319</v>
      </c>
      <c r="BG29" s="331">
        <f>SUM(BG20:BG28)</f>
        <v>543</v>
      </c>
      <c r="BH29" s="323">
        <f>BF29/BG29</f>
        <v>0.58747697974217317</v>
      </c>
      <c r="BI29" s="354">
        <f>SUM(BI20:BI28)</f>
        <v>520</v>
      </c>
      <c r="BJ29" s="334">
        <f>SUM(BJ20:BJ28)</f>
        <v>741</v>
      </c>
      <c r="BK29" s="335">
        <f>BI29/BJ29</f>
        <v>0.70175438596491224</v>
      </c>
      <c r="BL29" s="354">
        <f>SUM(BL20:BL28)</f>
        <v>839</v>
      </c>
      <c r="BM29" s="334">
        <f>SUM(BM20:BM28)</f>
        <v>1284</v>
      </c>
      <c r="BN29" s="335">
        <f>BL29/BM29</f>
        <v>0.65342679127725856</v>
      </c>
      <c r="BO29" s="424">
        <f>SUM(BO20:BO28)</f>
        <v>356</v>
      </c>
      <c r="BP29" s="319">
        <f>SUM(BP20:BP28)</f>
        <v>655</v>
      </c>
      <c r="BQ29" s="491">
        <f>BO29/BP29</f>
        <v>0.54351145038167936</v>
      </c>
      <c r="BR29" s="320">
        <f>SUM(BR20:BR28)</f>
        <v>509</v>
      </c>
      <c r="BS29" s="319">
        <f>SUM(BS20:BS28)</f>
        <v>811</v>
      </c>
      <c r="BT29" s="579">
        <f>BR29/BS29</f>
        <v>0.6276202219482121</v>
      </c>
      <c r="BU29" s="585">
        <f>SUM(BU20:BU28)</f>
        <v>865</v>
      </c>
      <c r="BV29" s="578">
        <f>SUM(BV20:BV28)</f>
        <v>1466</v>
      </c>
      <c r="BW29" s="579">
        <f>BU29/BV29</f>
        <v>0.59004092769440653</v>
      </c>
      <c r="BX29" s="299"/>
    </row>
    <row r="30" spans="1:76" x14ac:dyDescent="0.2">
      <c r="A30" s="511"/>
      <c r="B30" s="564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565"/>
      <c r="AA30" s="565"/>
      <c r="AB30" s="565"/>
      <c r="AC30" s="565"/>
      <c r="AD30" s="565"/>
      <c r="AE30" s="565"/>
      <c r="AF30" s="565"/>
      <c r="AG30" s="565"/>
      <c r="AH30" s="565"/>
      <c r="AI30" s="565"/>
      <c r="AJ30" s="565"/>
      <c r="AK30" s="565"/>
      <c r="AL30" s="565"/>
      <c r="AM30" s="565"/>
      <c r="AN30" s="565"/>
      <c r="AO30" s="565"/>
      <c r="AP30" s="565"/>
      <c r="AQ30" s="565"/>
      <c r="AR30" s="565"/>
      <c r="AS30" s="565"/>
      <c r="AT30" s="565"/>
      <c r="AU30" s="565"/>
      <c r="AV30" s="565"/>
      <c r="AW30" s="565"/>
      <c r="AX30" s="565"/>
      <c r="AY30" s="565"/>
      <c r="AZ30" s="565"/>
      <c r="BA30" s="565"/>
      <c r="BB30" s="565"/>
      <c r="BC30" s="565"/>
      <c r="BD30" s="565"/>
      <c r="BE30" s="565"/>
      <c r="BF30" s="565"/>
      <c r="BG30" s="565"/>
      <c r="BH30" s="565"/>
      <c r="BI30" s="565"/>
      <c r="BJ30" s="565"/>
      <c r="BK30" s="565"/>
      <c r="BL30" s="565"/>
      <c r="BM30" s="565"/>
      <c r="BN30" s="565"/>
      <c r="BO30" s="565"/>
      <c r="BP30" s="565"/>
      <c r="BQ30" s="565"/>
      <c r="BR30" s="565"/>
      <c r="BS30" s="565"/>
      <c r="BT30" s="565"/>
      <c r="BU30" s="565"/>
      <c r="BV30" s="565"/>
      <c r="BW30" s="565"/>
      <c r="BX30" s="299"/>
    </row>
    <row r="31" spans="1:76" x14ac:dyDescent="0.2">
      <c r="A31" s="511"/>
      <c r="B31" s="138" t="s">
        <v>7</v>
      </c>
      <c r="C31" s="138"/>
      <c r="D31" s="307"/>
      <c r="E31" s="308"/>
      <c r="F31" s="327"/>
      <c r="G31" s="328"/>
      <c r="H31" s="329"/>
      <c r="I31" s="327"/>
      <c r="J31" s="329"/>
      <c r="K31" s="329"/>
      <c r="L31" s="327"/>
      <c r="M31" s="328"/>
      <c r="N31" s="329"/>
      <c r="O31" s="327"/>
      <c r="P31" s="328"/>
      <c r="Q31" s="329"/>
      <c r="R31" s="330"/>
      <c r="S31" s="329"/>
      <c r="T31" s="329"/>
      <c r="U31" s="327"/>
      <c r="V31" s="302" t="s">
        <v>50</v>
      </c>
      <c r="W31" s="303"/>
      <c r="X31" s="359"/>
      <c r="Y31" s="357"/>
      <c r="Z31" s="358"/>
      <c r="AA31" s="360"/>
      <c r="AB31" s="357"/>
      <c r="AC31" s="358"/>
      <c r="AD31" s="360"/>
      <c r="AE31" s="357" t="s">
        <v>50</v>
      </c>
      <c r="AF31" s="358"/>
      <c r="AG31" s="359"/>
      <c r="AH31" s="357"/>
      <c r="AI31" s="358"/>
      <c r="AJ31" s="360"/>
      <c r="AK31" s="357"/>
      <c r="AL31" s="358"/>
      <c r="AM31" s="360"/>
      <c r="AN31" s="357" t="s">
        <v>50</v>
      </c>
      <c r="AO31" s="358"/>
      <c r="AP31" s="359"/>
      <c r="AQ31" s="357"/>
      <c r="AR31" s="358"/>
      <c r="AS31" s="360"/>
      <c r="AT31" s="357"/>
      <c r="AU31" s="358"/>
      <c r="AV31" s="360"/>
      <c r="AW31" s="357" t="s">
        <v>50</v>
      </c>
      <c r="AX31" s="358"/>
      <c r="AY31" s="359"/>
      <c r="AZ31" s="357" t="s">
        <v>50</v>
      </c>
      <c r="BA31" s="358"/>
      <c r="BB31" s="360"/>
      <c r="BC31" s="357"/>
      <c r="BD31" s="358"/>
      <c r="BE31" s="360"/>
      <c r="BF31" s="485" t="s">
        <v>50</v>
      </c>
      <c r="BG31" s="358"/>
      <c r="BH31" s="359"/>
      <c r="BI31" s="357" t="s">
        <v>50</v>
      </c>
      <c r="BJ31" s="358"/>
      <c r="BK31" s="360"/>
      <c r="BL31" s="357"/>
      <c r="BM31" s="358"/>
      <c r="BN31" s="360"/>
      <c r="BO31" s="422" t="s">
        <v>50</v>
      </c>
      <c r="BP31" s="316"/>
      <c r="BQ31" s="317"/>
      <c r="BR31" s="315" t="s">
        <v>50</v>
      </c>
      <c r="BS31" s="316"/>
      <c r="BT31" s="317"/>
      <c r="BU31" s="315"/>
      <c r="BV31" s="316"/>
      <c r="BW31" s="317"/>
      <c r="BX31" s="299"/>
    </row>
    <row r="32" spans="1:76" x14ac:dyDescent="0.2">
      <c r="A32" s="511"/>
      <c r="B32" s="519" t="s">
        <v>49</v>
      </c>
      <c r="C32" s="519"/>
      <c r="D32" s="407">
        <v>23</v>
      </c>
      <c r="E32" s="408">
        <v>42</v>
      </c>
      <c r="F32" s="376">
        <v>0.54761904761904767</v>
      </c>
      <c r="G32" s="388">
        <v>44</v>
      </c>
      <c r="H32" s="389">
        <v>65</v>
      </c>
      <c r="I32" s="376">
        <v>0.67692307692307696</v>
      </c>
      <c r="J32" s="389">
        <v>67</v>
      </c>
      <c r="K32" s="389">
        <v>107</v>
      </c>
      <c r="L32" s="376">
        <v>0.62616822429906538</v>
      </c>
      <c r="M32" s="388">
        <v>21</v>
      </c>
      <c r="N32" s="389">
        <v>34</v>
      </c>
      <c r="O32" s="376">
        <v>0.61764705882352944</v>
      </c>
      <c r="P32" s="388">
        <v>42</v>
      </c>
      <c r="Q32" s="389">
        <v>62</v>
      </c>
      <c r="R32" s="377">
        <v>0.67741935483870963</v>
      </c>
      <c r="S32" s="389">
        <v>63</v>
      </c>
      <c r="T32" s="389">
        <v>96</v>
      </c>
      <c r="U32" s="376">
        <v>0.65625</v>
      </c>
      <c r="V32" s="409">
        <v>23</v>
      </c>
      <c r="W32" s="410">
        <v>49</v>
      </c>
      <c r="X32" s="376">
        <v>0.46938775510204084</v>
      </c>
      <c r="Y32" s="391">
        <v>49</v>
      </c>
      <c r="Z32" s="389">
        <v>68</v>
      </c>
      <c r="AA32" s="377">
        <v>0.72058823529411764</v>
      </c>
      <c r="AB32" s="391">
        <v>72</v>
      </c>
      <c r="AC32" s="389">
        <v>117</v>
      </c>
      <c r="AD32" s="377">
        <v>0.61538461538461542</v>
      </c>
      <c r="AE32" s="391">
        <v>26</v>
      </c>
      <c r="AF32" s="389">
        <f t="shared" ref="AF32:AF40" si="64">AF8</f>
        <v>51</v>
      </c>
      <c r="AG32" s="376">
        <f>AE32/AF32</f>
        <v>0.50980392156862742</v>
      </c>
      <c r="AH32" s="391">
        <v>56</v>
      </c>
      <c r="AI32" s="389">
        <f t="shared" ref="AI32:AI40" si="65">AI8</f>
        <v>79</v>
      </c>
      <c r="AJ32" s="377">
        <f>AH32/AI32</f>
        <v>0.70886075949367089</v>
      </c>
      <c r="AK32" s="391">
        <f>AH32+AE32</f>
        <v>82</v>
      </c>
      <c r="AL32" s="389">
        <f>AI32+AF32</f>
        <v>130</v>
      </c>
      <c r="AM32" s="377">
        <f>AK32/AL32</f>
        <v>0.63076923076923075</v>
      </c>
      <c r="AN32" s="391">
        <v>32</v>
      </c>
      <c r="AO32" s="389">
        <f t="shared" ref="AO32:AO40" si="66">AO8</f>
        <v>50</v>
      </c>
      <c r="AP32" s="376">
        <f>AN32/AO32</f>
        <v>0.64</v>
      </c>
      <c r="AQ32" s="391">
        <v>61</v>
      </c>
      <c r="AR32" s="389">
        <f t="shared" ref="AR32:AR40" si="67">AR8</f>
        <v>99</v>
      </c>
      <c r="AS32" s="377">
        <f>AQ32/AR32</f>
        <v>0.61616161616161613</v>
      </c>
      <c r="AT32" s="391">
        <f>AQ32+AN32</f>
        <v>93</v>
      </c>
      <c r="AU32" s="389">
        <f>AR32+AO32</f>
        <v>149</v>
      </c>
      <c r="AV32" s="377">
        <f>AT32/AU32</f>
        <v>0.62416107382550334</v>
      </c>
      <c r="AW32" s="391">
        <v>35</v>
      </c>
      <c r="AX32" s="389">
        <f t="shared" ref="AX32:AX40" si="68">AX8</f>
        <v>68</v>
      </c>
      <c r="AY32" s="376">
        <f>AW32/AX32</f>
        <v>0.51470588235294112</v>
      </c>
      <c r="AZ32" s="391">
        <v>68</v>
      </c>
      <c r="BA32" s="389">
        <f t="shared" ref="BA32:BA40" si="69">BA8</f>
        <v>104</v>
      </c>
      <c r="BB32" s="377">
        <f>AZ32/BA32</f>
        <v>0.65384615384615385</v>
      </c>
      <c r="BC32" s="391">
        <f>AZ32+AW32</f>
        <v>103</v>
      </c>
      <c r="BD32" s="389">
        <f>BA32+AX32</f>
        <v>172</v>
      </c>
      <c r="BE32" s="377">
        <f>BC32/BD32</f>
        <v>0.59883720930232553</v>
      </c>
      <c r="BF32" s="486">
        <v>30</v>
      </c>
      <c r="BG32" s="389">
        <f t="shared" ref="BG32:BG40" si="70">BG8</f>
        <v>60</v>
      </c>
      <c r="BH32" s="376">
        <f>BF32/BG32</f>
        <v>0.5</v>
      </c>
      <c r="BI32" s="391">
        <v>66</v>
      </c>
      <c r="BJ32" s="389">
        <f t="shared" ref="BJ32:BJ40" si="71">BJ8</f>
        <v>96</v>
      </c>
      <c r="BK32" s="377">
        <f>BI32/BJ32</f>
        <v>0.6875</v>
      </c>
      <c r="BL32" s="391">
        <f>BI32+BF32</f>
        <v>96</v>
      </c>
      <c r="BM32" s="389">
        <f>BJ32+BG32</f>
        <v>156</v>
      </c>
      <c r="BN32" s="377">
        <f>BL32/BM32</f>
        <v>0.61538461538461542</v>
      </c>
      <c r="BO32" s="423">
        <v>44</v>
      </c>
      <c r="BP32" s="319">
        <f t="shared" ref="BP32:BP40" si="72">BP8</f>
        <v>84</v>
      </c>
      <c r="BQ32" s="215">
        <f>BO32/BP32</f>
        <v>0.52380952380952384</v>
      </c>
      <c r="BR32" s="318">
        <v>52</v>
      </c>
      <c r="BS32" s="319">
        <f t="shared" ref="BS32:BS40" si="73">BS8</f>
        <v>98</v>
      </c>
      <c r="BT32" s="215">
        <f>BR32/BS32</f>
        <v>0.53061224489795922</v>
      </c>
      <c r="BU32" s="318">
        <f>BR32+BO32</f>
        <v>96</v>
      </c>
      <c r="BV32" s="319">
        <f>BS32+BP32</f>
        <v>182</v>
      </c>
      <c r="BW32" s="215">
        <f>BU32/BV32</f>
        <v>0.52747252747252749</v>
      </c>
      <c r="BX32" s="299"/>
    </row>
    <row r="33" spans="1:76" x14ac:dyDescent="0.2">
      <c r="A33" s="511"/>
      <c r="B33" s="519" t="s">
        <v>15</v>
      </c>
      <c r="C33" s="519"/>
      <c r="D33" s="407">
        <v>0</v>
      </c>
      <c r="E33" s="408">
        <v>0</v>
      </c>
      <c r="F33" s="376" t="s">
        <v>23</v>
      </c>
      <c r="G33" s="388">
        <v>2</v>
      </c>
      <c r="H33" s="389">
        <v>4</v>
      </c>
      <c r="I33" s="376">
        <v>0.5</v>
      </c>
      <c r="J33" s="389">
        <v>2</v>
      </c>
      <c r="K33" s="389">
        <v>4</v>
      </c>
      <c r="L33" s="376">
        <v>0.5</v>
      </c>
      <c r="M33" s="388">
        <v>0</v>
      </c>
      <c r="N33" s="389">
        <v>0</v>
      </c>
      <c r="O33" s="376" t="s">
        <v>23</v>
      </c>
      <c r="P33" s="388">
        <v>0</v>
      </c>
      <c r="Q33" s="389">
        <v>0</v>
      </c>
      <c r="R33" s="376" t="s">
        <v>23</v>
      </c>
      <c r="S33" s="389">
        <v>0</v>
      </c>
      <c r="T33" s="389">
        <v>0</v>
      </c>
      <c r="U33" s="376" t="s">
        <v>23</v>
      </c>
      <c r="V33" s="409">
        <v>5</v>
      </c>
      <c r="W33" s="410">
        <v>5</v>
      </c>
      <c r="X33" s="376">
        <v>1</v>
      </c>
      <c r="Y33" s="391">
        <v>4</v>
      </c>
      <c r="Z33" s="389">
        <v>7</v>
      </c>
      <c r="AA33" s="377">
        <v>0.5714285714285714</v>
      </c>
      <c r="AB33" s="391">
        <v>9</v>
      </c>
      <c r="AC33" s="389">
        <v>12</v>
      </c>
      <c r="AD33" s="377">
        <v>0.75</v>
      </c>
      <c r="AE33" s="391">
        <v>1</v>
      </c>
      <c r="AF33" s="389">
        <f t="shared" si="64"/>
        <v>3</v>
      </c>
      <c r="AG33" s="376">
        <f t="shared" ref="AG33:AG41" si="74">AE33/AF33</f>
        <v>0.33333333333333331</v>
      </c>
      <c r="AH33" s="391">
        <v>6</v>
      </c>
      <c r="AI33" s="389">
        <f t="shared" si="65"/>
        <v>9</v>
      </c>
      <c r="AJ33" s="377">
        <f t="shared" ref="AJ33:AJ41" si="75">AH33/AI33</f>
        <v>0.66666666666666663</v>
      </c>
      <c r="AK33" s="391">
        <f t="shared" ref="AK33:AK40" si="76">AH33+AE33</f>
        <v>7</v>
      </c>
      <c r="AL33" s="389">
        <f t="shared" ref="AL33:AL40" si="77">AI33+AF33</f>
        <v>12</v>
      </c>
      <c r="AM33" s="377">
        <f t="shared" ref="AM33:AM41" si="78">AK33/AL33</f>
        <v>0.58333333333333337</v>
      </c>
      <c r="AN33" s="391">
        <v>2</v>
      </c>
      <c r="AO33" s="389">
        <f t="shared" si="66"/>
        <v>5</v>
      </c>
      <c r="AP33" s="376">
        <f t="shared" ref="AP33:AP41" si="79">AN33/AO33</f>
        <v>0.4</v>
      </c>
      <c r="AQ33" s="391">
        <v>2</v>
      </c>
      <c r="AR33" s="389">
        <f t="shared" si="67"/>
        <v>9</v>
      </c>
      <c r="AS33" s="377">
        <f t="shared" ref="AS33:AS41" si="80">AQ33/AR33</f>
        <v>0.22222222222222221</v>
      </c>
      <c r="AT33" s="391">
        <f t="shared" ref="AT33:AT40" si="81">AQ33+AN33</f>
        <v>4</v>
      </c>
      <c r="AU33" s="389">
        <f t="shared" ref="AU33:AU40" si="82">AR33+AO33</f>
        <v>14</v>
      </c>
      <c r="AV33" s="377">
        <f t="shared" ref="AV33:AV41" si="83">AT33/AU33</f>
        <v>0.2857142857142857</v>
      </c>
      <c r="AW33" s="391">
        <v>2</v>
      </c>
      <c r="AX33" s="389">
        <f t="shared" si="68"/>
        <v>7</v>
      </c>
      <c r="AY33" s="376">
        <f t="shared" ref="AY33:AY35" si="84">AW33/AX33</f>
        <v>0.2857142857142857</v>
      </c>
      <c r="AZ33" s="391">
        <v>5</v>
      </c>
      <c r="BA33" s="389">
        <f t="shared" si="69"/>
        <v>6</v>
      </c>
      <c r="BB33" s="377">
        <f t="shared" ref="BB33:BB41" si="85">AZ33/BA33</f>
        <v>0.83333333333333337</v>
      </c>
      <c r="BC33" s="391">
        <f t="shared" ref="BC33:BC40" si="86">AZ33+AW33</f>
        <v>7</v>
      </c>
      <c r="BD33" s="389">
        <f t="shared" ref="BD33:BD40" si="87">BA33+AX33</f>
        <v>13</v>
      </c>
      <c r="BE33" s="377">
        <f t="shared" ref="BE33:BE41" si="88">BC33/BD33</f>
        <v>0.53846153846153844</v>
      </c>
      <c r="BF33" s="486">
        <v>3</v>
      </c>
      <c r="BG33" s="389">
        <f t="shared" si="70"/>
        <v>3</v>
      </c>
      <c r="BH33" s="376">
        <f t="shared" ref="BH33:BH41" si="89">BF33/BG33</f>
        <v>1</v>
      </c>
      <c r="BI33" s="391">
        <v>3</v>
      </c>
      <c r="BJ33" s="389">
        <f t="shared" si="71"/>
        <v>8</v>
      </c>
      <c r="BK33" s="377">
        <f t="shared" ref="BK33:BK41" si="90">BI33/BJ33</f>
        <v>0.375</v>
      </c>
      <c r="BL33" s="391">
        <f t="shared" ref="BL33:BL40" si="91">BI33+BF33</f>
        <v>6</v>
      </c>
      <c r="BM33" s="389">
        <f t="shared" ref="BM33:BM40" si="92">BJ33+BG33</f>
        <v>11</v>
      </c>
      <c r="BN33" s="377">
        <f t="shared" ref="BN33:BN41" si="93">BL33/BM33</f>
        <v>0.54545454545454541</v>
      </c>
      <c r="BO33" s="423">
        <v>0</v>
      </c>
      <c r="BP33" s="319">
        <f t="shared" si="72"/>
        <v>8</v>
      </c>
      <c r="BQ33" s="215">
        <f t="shared" ref="BQ33:BQ41" si="94">BO33/BP33</f>
        <v>0</v>
      </c>
      <c r="BR33" s="318">
        <v>6</v>
      </c>
      <c r="BS33" s="319">
        <f t="shared" si="73"/>
        <v>12</v>
      </c>
      <c r="BT33" s="215">
        <f t="shared" ref="BT33:BT36" si="95">BR33/BS33</f>
        <v>0.5</v>
      </c>
      <c r="BU33" s="318">
        <f t="shared" ref="BU33:BU40" si="96">BR33+BO33</f>
        <v>6</v>
      </c>
      <c r="BV33" s="319">
        <f t="shared" ref="BV33:BV40" si="97">BS33+BP33</f>
        <v>20</v>
      </c>
      <c r="BW33" s="215">
        <f t="shared" ref="BW33:BW41" si="98">BU33/BV33</f>
        <v>0.3</v>
      </c>
      <c r="BX33" s="299"/>
    </row>
    <row r="34" spans="1:76" x14ac:dyDescent="0.2">
      <c r="A34" s="511"/>
      <c r="B34" s="519" t="s">
        <v>25</v>
      </c>
      <c r="C34" s="519"/>
      <c r="D34" s="407">
        <v>10</v>
      </c>
      <c r="E34" s="408">
        <v>19</v>
      </c>
      <c r="F34" s="376">
        <v>0.52631578947368418</v>
      </c>
      <c r="G34" s="388">
        <v>16</v>
      </c>
      <c r="H34" s="389">
        <v>23</v>
      </c>
      <c r="I34" s="376">
        <v>0.69565217391304346</v>
      </c>
      <c r="J34" s="389">
        <v>26</v>
      </c>
      <c r="K34" s="389">
        <v>42</v>
      </c>
      <c r="L34" s="376">
        <v>0.61904761904761907</v>
      </c>
      <c r="M34" s="388">
        <v>8</v>
      </c>
      <c r="N34" s="389">
        <v>10</v>
      </c>
      <c r="O34" s="376">
        <v>0.8</v>
      </c>
      <c r="P34" s="388">
        <v>20</v>
      </c>
      <c r="Q34" s="389">
        <v>23</v>
      </c>
      <c r="R34" s="377">
        <v>0.86956521739130432</v>
      </c>
      <c r="S34" s="389">
        <v>28</v>
      </c>
      <c r="T34" s="389">
        <v>33</v>
      </c>
      <c r="U34" s="376">
        <v>0.84848484848484851</v>
      </c>
      <c r="V34" s="409">
        <v>8</v>
      </c>
      <c r="W34" s="410">
        <v>16</v>
      </c>
      <c r="X34" s="376">
        <v>0.5</v>
      </c>
      <c r="Y34" s="391">
        <v>12</v>
      </c>
      <c r="Z34" s="389">
        <v>21</v>
      </c>
      <c r="AA34" s="377">
        <v>0.5714285714285714</v>
      </c>
      <c r="AB34" s="391">
        <v>20</v>
      </c>
      <c r="AC34" s="389">
        <v>37</v>
      </c>
      <c r="AD34" s="377">
        <v>0.54054054054054057</v>
      </c>
      <c r="AE34" s="391">
        <v>8</v>
      </c>
      <c r="AF34" s="389">
        <f t="shared" si="64"/>
        <v>12</v>
      </c>
      <c r="AG34" s="376">
        <f t="shared" si="74"/>
        <v>0.66666666666666663</v>
      </c>
      <c r="AH34" s="391">
        <v>26</v>
      </c>
      <c r="AI34" s="389">
        <f t="shared" si="65"/>
        <v>37</v>
      </c>
      <c r="AJ34" s="377">
        <f t="shared" si="75"/>
        <v>0.70270270270270274</v>
      </c>
      <c r="AK34" s="391">
        <f t="shared" si="76"/>
        <v>34</v>
      </c>
      <c r="AL34" s="389">
        <f t="shared" si="77"/>
        <v>49</v>
      </c>
      <c r="AM34" s="377">
        <f t="shared" si="78"/>
        <v>0.69387755102040816</v>
      </c>
      <c r="AN34" s="391">
        <v>12</v>
      </c>
      <c r="AO34" s="389">
        <f t="shared" si="66"/>
        <v>25</v>
      </c>
      <c r="AP34" s="376">
        <f t="shared" si="79"/>
        <v>0.48</v>
      </c>
      <c r="AQ34" s="391">
        <v>20</v>
      </c>
      <c r="AR34" s="389">
        <f t="shared" si="67"/>
        <v>36</v>
      </c>
      <c r="AS34" s="377">
        <f t="shared" si="80"/>
        <v>0.55555555555555558</v>
      </c>
      <c r="AT34" s="391">
        <f t="shared" si="81"/>
        <v>32</v>
      </c>
      <c r="AU34" s="389">
        <f t="shared" si="82"/>
        <v>61</v>
      </c>
      <c r="AV34" s="377">
        <f t="shared" si="83"/>
        <v>0.52459016393442626</v>
      </c>
      <c r="AW34" s="391">
        <v>16</v>
      </c>
      <c r="AX34" s="389">
        <f t="shared" si="68"/>
        <v>24</v>
      </c>
      <c r="AY34" s="376">
        <f t="shared" si="84"/>
        <v>0.66666666666666663</v>
      </c>
      <c r="AZ34" s="391">
        <v>24</v>
      </c>
      <c r="BA34" s="389">
        <f t="shared" si="69"/>
        <v>32</v>
      </c>
      <c r="BB34" s="377">
        <f t="shared" si="85"/>
        <v>0.75</v>
      </c>
      <c r="BC34" s="391">
        <f t="shared" si="86"/>
        <v>40</v>
      </c>
      <c r="BD34" s="389">
        <f t="shared" si="87"/>
        <v>56</v>
      </c>
      <c r="BE34" s="377">
        <f t="shared" si="88"/>
        <v>0.7142857142857143</v>
      </c>
      <c r="BF34" s="486">
        <v>8</v>
      </c>
      <c r="BG34" s="389">
        <f t="shared" si="70"/>
        <v>18</v>
      </c>
      <c r="BH34" s="376">
        <f t="shared" si="89"/>
        <v>0.44444444444444442</v>
      </c>
      <c r="BI34" s="391">
        <v>26</v>
      </c>
      <c r="BJ34" s="389">
        <f t="shared" si="71"/>
        <v>35</v>
      </c>
      <c r="BK34" s="377">
        <f t="shared" si="90"/>
        <v>0.74285714285714288</v>
      </c>
      <c r="BL34" s="391">
        <f t="shared" si="91"/>
        <v>34</v>
      </c>
      <c r="BM34" s="389">
        <f t="shared" si="92"/>
        <v>53</v>
      </c>
      <c r="BN34" s="377">
        <f t="shared" si="93"/>
        <v>0.64150943396226412</v>
      </c>
      <c r="BO34" s="423">
        <v>16</v>
      </c>
      <c r="BP34" s="319">
        <f t="shared" si="72"/>
        <v>30</v>
      </c>
      <c r="BQ34" s="215">
        <f t="shared" si="94"/>
        <v>0.53333333333333333</v>
      </c>
      <c r="BR34" s="318">
        <v>25</v>
      </c>
      <c r="BS34" s="319">
        <f t="shared" si="73"/>
        <v>50</v>
      </c>
      <c r="BT34" s="215">
        <f t="shared" si="95"/>
        <v>0.5</v>
      </c>
      <c r="BU34" s="318">
        <f t="shared" si="96"/>
        <v>41</v>
      </c>
      <c r="BV34" s="319">
        <f t="shared" si="97"/>
        <v>80</v>
      </c>
      <c r="BW34" s="215">
        <f t="shared" si="98"/>
        <v>0.51249999999999996</v>
      </c>
      <c r="BX34" s="299"/>
    </row>
    <row r="35" spans="1:76" x14ac:dyDescent="0.2">
      <c r="A35" s="511"/>
      <c r="B35" s="519" t="s">
        <v>16</v>
      </c>
      <c r="C35" s="519"/>
      <c r="D35" s="407">
        <v>17</v>
      </c>
      <c r="E35" s="408">
        <v>32</v>
      </c>
      <c r="F35" s="376">
        <v>0.53125</v>
      </c>
      <c r="G35" s="388">
        <v>23</v>
      </c>
      <c r="H35" s="389">
        <v>33</v>
      </c>
      <c r="I35" s="376">
        <v>0.69696969696969702</v>
      </c>
      <c r="J35" s="389">
        <v>40</v>
      </c>
      <c r="K35" s="389">
        <v>65</v>
      </c>
      <c r="L35" s="376">
        <v>0.61538461538461542</v>
      </c>
      <c r="M35" s="388">
        <v>11</v>
      </c>
      <c r="N35" s="389">
        <v>26</v>
      </c>
      <c r="O35" s="376">
        <v>0.42307692307692307</v>
      </c>
      <c r="P35" s="388">
        <v>23</v>
      </c>
      <c r="Q35" s="389">
        <v>36</v>
      </c>
      <c r="R35" s="377">
        <v>0.63888888888888884</v>
      </c>
      <c r="S35" s="389">
        <v>34</v>
      </c>
      <c r="T35" s="389">
        <v>62</v>
      </c>
      <c r="U35" s="376">
        <v>0.54838709677419351</v>
      </c>
      <c r="V35" s="409">
        <v>6</v>
      </c>
      <c r="W35" s="410">
        <v>17</v>
      </c>
      <c r="X35" s="376">
        <v>0.35294117647058826</v>
      </c>
      <c r="Y35" s="391">
        <v>21</v>
      </c>
      <c r="Z35" s="389">
        <v>32</v>
      </c>
      <c r="AA35" s="377">
        <v>0.65625</v>
      </c>
      <c r="AB35" s="391">
        <v>27</v>
      </c>
      <c r="AC35" s="389">
        <v>49</v>
      </c>
      <c r="AD35" s="377">
        <v>0.55102040816326525</v>
      </c>
      <c r="AE35" s="391">
        <v>20</v>
      </c>
      <c r="AF35" s="389">
        <f t="shared" si="64"/>
        <v>28</v>
      </c>
      <c r="AG35" s="376">
        <f t="shared" si="74"/>
        <v>0.7142857142857143</v>
      </c>
      <c r="AH35" s="391">
        <v>19</v>
      </c>
      <c r="AI35" s="389">
        <f t="shared" si="65"/>
        <v>30</v>
      </c>
      <c r="AJ35" s="377">
        <f t="shared" si="75"/>
        <v>0.6333333333333333</v>
      </c>
      <c r="AK35" s="391">
        <f t="shared" si="76"/>
        <v>39</v>
      </c>
      <c r="AL35" s="389">
        <f t="shared" si="77"/>
        <v>58</v>
      </c>
      <c r="AM35" s="377">
        <f t="shared" si="78"/>
        <v>0.67241379310344829</v>
      </c>
      <c r="AN35" s="391">
        <v>18</v>
      </c>
      <c r="AO35" s="389">
        <f t="shared" si="66"/>
        <v>28</v>
      </c>
      <c r="AP35" s="376">
        <f t="shared" si="79"/>
        <v>0.6428571428571429</v>
      </c>
      <c r="AQ35" s="391">
        <v>24</v>
      </c>
      <c r="AR35" s="389">
        <f t="shared" si="67"/>
        <v>33</v>
      </c>
      <c r="AS35" s="377">
        <f t="shared" si="80"/>
        <v>0.72727272727272729</v>
      </c>
      <c r="AT35" s="391">
        <f t="shared" si="81"/>
        <v>42</v>
      </c>
      <c r="AU35" s="389">
        <f t="shared" si="82"/>
        <v>61</v>
      </c>
      <c r="AV35" s="377">
        <f t="shared" si="83"/>
        <v>0.68852459016393441</v>
      </c>
      <c r="AW35" s="391">
        <v>17</v>
      </c>
      <c r="AX35" s="389">
        <f t="shared" si="68"/>
        <v>32</v>
      </c>
      <c r="AY35" s="376">
        <f t="shared" si="84"/>
        <v>0.53125</v>
      </c>
      <c r="AZ35" s="391">
        <v>21</v>
      </c>
      <c r="BA35" s="389">
        <f t="shared" si="69"/>
        <v>36</v>
      </c>
      <c r="BB35" s="377">
        <f t="shared" si="85"/>
        <v>0.58333333333333337</v>
      </c>
      <c r="BC35" s="391">
        <f t="shared" si="86"/>
        <v>38</v>
      </c>
      <c r="BD35" s="389">
        <f t="shared" si="87"/>
        <v>68</v>
      </c>
      <c r="BE35" s="377">
        <f t="shared" si="88"/>
        <v>0.55882352941176472</v>
      </c>
      <c r="BF35" s="486">
        <v>16</v>
      </c>
      <c r="BG35" s="389">
        <f t="shared" si="70"/>
        <v>36</v>
      </c>
      <c r="BH35" s="376">
        <f t="shared" si="89"/>
        <v>0.44444444444444442</v>
      </c>
      <c r="BI35" s="391">
        <v>28</v>
      </c>
      <c r="BJ35" s="389">
        <f t="shared" si="71"/>
        <v>42</v>
      </c>
      <c r="BK35" s="377">
        <f t="shared" si="90"/>
        <v>0.66666666666666663</v>
      </c>
      <c r="BL35" s="391">
        <f t="shared" si="91"/>
        <v>44</v>
      </c>
      <c r="BM35" s="389">
        <f t="shared" si="92"/>
        <v>78</v>
      </c>
      <c r="BN35" s="377">
        <f t="shared" si="93"/>
        <v>0.5641025641025641</v>
      </c>
      <c r="BO35" s="423">
        <v>20</v>
      </c>
      <c r="BP35" s="319">
        <f t="shared" si="72"/>
        <v>38</v>
      </c>
      <c r="BQ35" s="215">
        <f t="shared" si="94"/>
        <v>0.52631578947368418</v>
      </c>
      <c r="BR35" s="318">
        <v>28</v>
      </c>
      <c r="BS35" s="319">
        <f t="shared" si="73"/>
        <v>50</v>
      </c>
      <c r="BT35" s="215">
        <f t="shared" si="95"/>
        <v>0.56000000000000005</v>
      </c>
      <c r="BU35" s="318">
        <f t="shared" si="96"/>
        <v>48</v>
      </c>
      <c r="BV35" s="319">
        <f t="shared" si="97"/>
        <v>88</v>
      </c>
      <c r="BW35" s="215">
        <f t="shared" si="98"/>
        <v>0.54545454545454541</v>
      </c>
      <c r="BX35" s="299"/>
    </row>
    <row r="36" spans="1:76" x14ac:dyDescent="0.2">
      <c r="A36" s="511"/>
      <c r="B36" s="369"/>
      <c r="C36" s="369" t="s">
        <v>39</v>
      </c>
      <c r="D36" s="407">
        <v>0</v>
      </c>
      <c r="E36" s="408">
        <v>1</v>
      </c>
      <c r="F36" s="376">
        <v>0</v>
      </c>
      <c r="G36" s="388">
        <v>0</v>
      </c>
      <c r="H36" s="389">
        <v>0</v>
      </c>
      <c r="I36" s="376" t="s">
        <v>23</v>
      </c>
      <c r="J36" s="389">
        <v>0</v>
      </c>
      <c r="K36" s="389">
        <v>1</v>
      </c>
      <c r="L36" s="376">
        <v>0</v>
      </c>
      <c r="M36" s="388">
        <v>1</v>
      </c>
      <c r="N36" s="389">
        <v>2</v>
      </c>
      <c r="O36" s="376">
        <v>0.5</v>
      </c>
      <c r="P36" s="388">
        <v>0</v>
      </c>
      <c r="Q36" s="389">
        <v>0</v>
      </c>
      <c r="R36" s="376" t="s">
        <v>23</v>
      </c>
      <c r="S36" s="389">
        <v>1</v>
      </c>
      <c r="T36" s="389">
        <v>2</v>
      </c>
      <c r="U36" s="376">
        <v>0.5</v>
      </c>
      <c r="V36" s="409">
        <v>0</v>
      </c>
      <c r="W36" s="410">
        <v>0</v>
      </c>
      <c r="X36" s="376" t="s">
        <v>23</v>
      </c>
      <c r="Y36" s="391">
        <v>1</v>
      </c>
      <c r="Z36" s="389">
        <v>1</v>
      </c>
      <c r="AA36" s="377">
        <v>1</v>
      </c>
      <c r="AB36" s="391">
        <v>1</v>
      </c>
      <c r="AC36" s="389">
        <v>1</v>
      </c>
      <c r="AD36" s="377">
        <v>1</v>
      </c>
      <c r="AE36" s="391">
        <v>2</v>
      </c>
      <c r="AF36" s="389">
        <f t="shared" si="64"/>
        <v>2</v>
      </c>
      <c r="AG36" s="376">
        <f t="shared" si="74"/>
        <v>1</v>
      </c>
      <c r="AH36" s="391">
        <v>1</v>
      </c>
      <c r="AI36" s="389">
        <f t="shared" si="65"/>
        <v>2</v>
      </c>
      <c r="AJ36" s="377">
        <f t="shared" si="75"/>
        <v>0.5</v>
      </c>
      <c r="AK36" s="391">
        <f t="shared" si="76"/>
        <v>3</v>
      </c>
      <c r="AL36" s="389">
        <f t="shared" si="77"/>
        <v>4</v>
      </c>
      <c r="AM36" s="377">
        <f t="shared" si="78"/>
        <v>0.75</v>
      </c>
      <c r="AN36" s="391">
        <v>1</v>
      </c>
      <c r="AO36" s="389">
        <f t="shared" si="66"/>
        <v>1</v>
      </c>
      <c r="AP36" s="376">
        <f t="shared" si="79"/>
        <v>1</v>
      </c>
      <c r="AQ36" s="391">
        <v>1</v>
      </c>
      <c r="AR36" s="389">
        <f t="shared" si="67"/>
        <v>2</v>
      </c>
      <c r="AS36" s="377">
        <f t="shared" si="80"/>
        <v>0.5</v>
      </c>
      <c r="AT36" s="391">
        <f t="shared" si="81"/>
        <v>2</v>
      </c>
      <c r="AU36" s="389">
        <f t="shared" si="82"/>
        <v>3</v>
      </c>
      <c r="AV36" s="377">
        <f t="shared" si="83"/>
        <v>0.66666666666666663</v>
      </c>
      <c r="AW36" s="391">
        <v>0</v>
      </c>
      <c r="AX36" s="389">
        <f t="shared" si="68"/>
        <v>0</v>
      </c>
      <c r="AY36" s="376" t="s">
        <v>60</v>
      </c>
      <c r="AZ36" s="391">
        <v>1</v>
      </c>
      <c r="BA36" s="389">
        <f t="shared" si="69"/>
        <v>2</v>
      </c>
      <c r="BB36" s="377">
        <f t="shared" si="85"/>
        <v>0.5</v>
      </c>
      <c r="BC36" s="391">
        <f t="shared" si="86"/>
        <v>1</v>
      </c>
      <c r="BD36" s="389">
        <f t="shared" si="87"/>
        <v>2</v>
      </c>
      <c r="BE36" s="377">
        <f t="shared" si="88"/>
        <v>0.5</v>
      </c>
      <c r="BF36" s="486">
        <v>1</v>
      </c>
      <c r="BG36" s="389">
        <f t="shared" si="70"/>
        <v>1</v>
      </c>
      <c r="BH36" s="376">
        <f t="shared" si="89"/>
        <v>1</v>
      </c>
      <c r="BI36" s="391">
        <v>0</v>
      </c>
      <c r="BJ36" s="389">
        <f t="shared" si="71"/>
        <v>0</v>
      </c>
      <c r="BK36" s="377" t="s">
        <v>60</v>
      </c>
      <c r="BL36" s="391">
        <f t="shared" si="91"/>
        <v>1</v>
      </c>
      <c r="BM36" s="389">
        <f t="shared" si="92"/>
        <v>1</v>
      </c>
      <c r="BN36" s="377">
        <f t="shared" si="93"/>
        <v>1</v>
      </c>
      <c r="BO36" s="423">
        <v>0</v>
      </c>
      <c r="BP36" s="319">
        <f t="shared" si="72"/>
        <v>0</v>
      </c>
      <c r="BQ36" s="215" t="s">
        <v>60</v>
      </c>
      <c r="BR36" s="318">
        <v>0</v>
      </c>
      <c r="BS36" s="319">
        <f t="shared" si="73"/>
        <v>2</v>
      </c>
      <c r="BT36" s="215">
        <f t="shared" si="95"/>
        <v>0</v>
      </c>
      <c r="BU36" s="318">
        <f t="shared" si="96"/>
        <v>0</v>
      </c>
      <c r="BV36" s="319">
        <f t="shared" si="97"/>
        <v>2</v>
      </c>
      <c r="BW36" s="215">
        <f t="shared" si="98"/>
        <v>0</v>
      </c>
      <c r="BX36" s="299"/>
    </row>
    <row r="37" spans="1:76" x14ac:dyDescent="0.2">
      <c r="A37" s="511"/>
      <c r="B37" s="492"/>
      <c r="C37" s="369" t="s">
        <v>11</v>
      </c>
      <c r="D37" s="411">
        <v>235</v>
      </c>
      <c r="E37" s="412">
        <v>354</v>
      </c>
      <c r="F37" s="376">
        <v>0.66384180790960456</v>
      </c>
      <c r="G37" s="388">
        <v>392</v>
      </c>
      <c r="H37" s="389">
        <v>528</v>
      </c>
      <c r="I37" s="376">
        <v>0.74242424242424243</v>
      </c>
      <c r="J37" s="389">
        <v>627</v>
      </c>
      <c r="K37" s="389">
        <v>882</v>
      </c>
      <c r="L37" s="376">
        <v>0.71088435374149661</v>
      </c>
      <c r="M37" s="388">
        <v>241</v>
      </c>
      <c r="N37" s="389">
        <v>364</v>
      </c>
      <c r="O37" s="376">
        <v>0.66208791208791207</v>
      </c>
      <c r="P37" s="388">
        <v>414</v>
      </c>
      <c r="Q37" s="389">
        <v>542</v>
      </c>
      <c r="R37" s="377">
        <v>0.76383763837638374</v>
      </c>
      <c r="S37" s="389">
        <v>655</v>
      </c>
      <c r="T37" s="389">
        <v>906</v>
      </c>
      <c r="U37" s="376">
        <v>0.72295805739514352</v>
      </c>
      <c r="V37" s="409">
        <v>211</v>
      </c>
      <c r="W37" s="410">
        <v>312</v>
      </c>
      <c r="X37" s="376">
        <v>0.67628205128205132</v>
      </c>
      <c r="Y37" s="391">
        <v>411</v>
      </c>
      <c r="Z37" s="389">
        <v>559</v>
      </c>
      <c r="AA37" s="377">
        <v>0.73524150268336319</v>
      </c>
      <c r="AB37" s="391">
        <v>622</v>
      </c>
      <c r="AC37" s="389">
        <v>871</v>
      </c>
      <c r="AD37" s="377">
        <v>0.71412169919632607</v>
      </c>
      <c r="AE37" s="391">
        <v>249</v>
      </c>
      <c r="AF37" s="389">
        <f t="shared" si="64"/>
        <v>364</v>
      </c>
      <c r="AG37" s="376">
        <f t="shared" si="74"/>
        <v>0.68406593406593408</v>
      </c>
      <c r="AH37" s="391">
        <v>405</v>
      </c>
      <c r="AI37" s="389">
        <f t="shared" si="65"/>
        <v>512</v>
      </c>
      <c r="AJ37" s="377">
        <f t="shared" si="75"/>
        <v>0.791015625</v>
      </c>
      <c r="AK37" s="391">
        <f t="shared" si="76"/>
        <v>654</v>
      </c>
      <c r="AL37" s="389">
        <f t="shared" si="77"/>
        <v>876</v>
      </c>
      <c r="AM37" s="377">
        <f t="shared" si="78"/>
        <v>0.74657534246575341</v>
      </c>
      <c r="AN37" s="391">
        <v>264</v>
      </c>
      <c r="AO37" s="389">
        <f t="shared" si="66"/>
        <v>401</v>
      </c>
      <c r="AP37" s="376">
        <f t="shared" si="79"/>
        <v>0.65835411471321692</v>
      </c>
      <c r="AQ37" s="391">
        <v>425</v>
      </c>
      <c r="AR37" s="389">
        <f t="shared" si="67"/>
        <v>566</v>
      </c>
      <c r="AS37" s="377">
        <f t="shared" si="80"/>
        <v>0.75088339222614842</v>
      </c>
      <c r="AT37" s="391">
        <f t="shared" si="81"/>
        <v>689</v>
      </c>
      <c r="AU37" s="389">
        <f t="shared" si="82"/>
        <v>967</v>
      </c>
      <c r="AV37" s="377">
        <f t="shared" si="83"/>
        <v>0.71251292657704235</v>
      </c>
      <c r="AW37" s="391">
        <v>266</v>
      </c>
      <c r="AX37" s="389">
        <f t="shared" si="68"/>
        <v>396</v>
      </c>
      <c r="AY37" s="376">
        <f t="shared" ref="AY37:AY41" si="99">AW37/AX37</f>
        <v>0.67171717171717171</v>
      </c>
      <c r="AZ37" s="391">
        <v>397</v>
      </c>
      <c r="BA37" s="389">
        <f t="shared" si="69"/>
        <v>555</v>
      </c>
      <c r="BB37" s="377">
        <f t="shared" si="85"/>
        <v>0.71531531531531534</v>
      </c>
      <c r="BC37" s="391">
        <f t="shared" si="86"/>
        <v>663</v>
      </c>
      <c r="BD37" s="389">
        <f t="shared" si="87"/>
        <v>951</v>
      </c>
      <c r="BE37" s="377">
        <f t="shared" si="88"/>
        <v>0.69716088328075709</v>
      </c>
      <c r="BF37" s="486">
        <v>257</v>
      </c>
      <c r="BG37" s="389">
        <f t="shared" si="70"/>
        <v>393</v>
      </c>
      <c r="BH37" s="376">
        <f t="shared" si="89"/>
        <v>0.65394402035623411</v>
      </c>
      <c r="BI37" s="391">
        <v>396</v>
      </c>
      <c r="BJ37" s="389">
        <f t="shared" si="71"/>
        <v>531</v>
      </c>
      <c r="BK37" s="377">
        <f t="shared" si="90"/>
        <v>0.74576271186440679</v>
      </c>
      <c r="BL37" s="391">
        <f t="shared" si="91"/>
        <v>653</v>
      </c>
      <c r="BM37" s="389">
        <f t="shared" si="92"/>
        <v>924</v>
      </c>
      <c r="BN37" s="377">
        <f t="shared" si="93"/>
        <v>0.70670995670995673</v>
      </c>
      <c r="BO37" s="423">
        <v>276</v>
      </c>
      <c r="BP37" s="319">
        <f t="shared" si="72"/>
        <v>463</v>
      </c>
      <c r="BQ37" s="215">
        <f t="shared" si="94"/>
        <v>0.59611231101511875</v>
      </c>
      <c r="BR37" s="318">
        <v>396</v>
      </c>
      <c r="BS37" s="319">
        <f t="shared" si="73"/>
        <v>574</v>
      </c>
      <c r="BT37" s="215">
        <f t="shared" ref="BT37:BT41" si="100">BR37/BS37</f>
        <v>0.68989547038327526</v>
      </c>
      <c r="BU37" s="318">
        <f t="shared" si="96"/>
        <v>672</v>
      </c>
      <c r="BV37" s="319">
        <f t="shared" si="97"/>
        <v>1037</v>
      </c>
      <c r="BW37" s="215">
        <f t="shared" si="98"/>
        <v>0.64802314368370295</v>
      </c>
      <c r="BX37" s="299"/>
    </row>
    <row r="38" spans="1:76" x14ac:dyDescent="0.2">
      <c r="A38" s="511"/>
      <c r="B38" s="519" t="s">
        <v>18</v>
      </c>
      <c r="C38" s="519"/>
      <c r="D38" s="407">
        <v>4</v>
      </c>
      <c r="E38" s="408">
        <v>7</v>
      </c>
      <c r="F38" s="376">
        <v>0.5714285714285714</v>
      </c>
      <c r="G38" s="388">
        <v>5</v>
      </c>
      <c r="H38" s="389">
        <v>7</v>
      </c>
      <c r="I38" s="376">
        <v>0.7142857142857143</v>
      </c>
      <c r="J38" s="389">
        <v>9</v>
      </c>
      <c r="K38" s="389">
        <v>14</v>
      </c>
      <c r="L38" s="376">
        <v>0.6428571428571429</v>
      </c>
      <c r="M38" s="388">
        <v>5</v>
      </c>
      <c r="N38" s="389">
        <v>12</v>
      </c>
      <c r="O38" s="376">
        <v>0.41666666666666669</v>
      </c>
      <c r="P38" s="388">
        <v>3</v>
      </c>
      <c r="Q38" s="389">
        <v>3</v>
      </c>
      <c r="R38" s="377">
        <v>1</v>
      </c>
      <c r="S38" s="389">
        <v>8</v>
      </c>
      <c r="T38" s="389">
        <v>15</v>
      </c>
      <c r="U38" s="376">
        <v>0.53333333333333333</v>
      </c>
      <c r="V38" s="409">
        <v>2</v>
      </c>
      <c r="W38" s="410">
        <v>2</v>
      </c>
      <c r="X38" s="376">
        <v>1</v>
      </c>
      <c r="Y38" s="391">
        <v>3</v>
      </c>
      <c r="Z38" s="389">
        <v>8</v>
      </c>
      <c r="AA38" s="377">
        <v>0.375</v>
      </c>
      <c r="AB38" s="391">
        <v>5</v>
      </c>
      <c r="AC38" s="389">
        <v>10</v>
      </c>
      <c r="AD38" s="377">
        <v>0.5</v>
      </c>
      <c r="AE38" s="391">
        <v>2</v>
      </c>
      <c r="AF38" s="389">
        <f t="shared" si="64"/>
        <v>2</v>
      </c>
      <c r="AG38" s="376">
        <f t="shared" si="74"/>
        <v>1</v>
      </c>
      <c r="AH38" s="391">
        <v>2</v>
      </c>
      <c r="AI38" s="389">
        <f t="shared" si="65"/>
        <v>4</v>
      </c>
      <c r="AJ38" s="377">
        <f t="shared" si="75"/>
        <v>0.5</v>
      </c>
      <c r="AK38" s="391">
        <f t="shared" si="76"/>
        <v>4</v>
      </c>
      <c r="AL38" s="389">
        <f t="shared" si="77"/>
        <v>6</v>
      </c>
      <c r="AM38" s="377">
        <f t="shared" si="78"/>
        <v>0.66666666666666663</v>
      </c>
      <c r="AN38" s="391">
        <v>3</v>
      </c>
      <c r="AO38" s="389">
        <f t="shared" si="66"/>
        <v>5</v>
      </c>
      <c r="AP38" s="376">
        <f t="shared" si="79"/>
        <v>0.6</v>
      </c>
      <c r="AQ38" s="391">
        <v>2</v>
      </c>
      <c r="AR38" s="389">
        <f t="shared" si="67"/>
        <v>2</v>
      </c>
      <c r="AS38" s="377">
        <f t="shared" si="80"/>
        <v>1</v>
      </c>
      <c r="AT38" s="391">
        <f t="shared" si="81"/>
        <v>5</v>
      </c>
      <c r="AU38" s="389">
        <f t="shared" si="82"/>
        <v>7</v>
      </c>
      <c r="AV38" s="377">
        <f t="shared" si="83"/>
        <v>0.7142857142857143</v>
      </c>
      <c r="AW38" s="391">
        <v>2</v>
      </c>
      <c r="AX38" s="389">
        <f t="shared" si="68"/>
        <v>4</v>
      </c>
      <c r="AY38" s="376">
        <f t="shared" si="99"/>
        <v>0.5</v>
      </c>
      <c r="AZ38" s="391">
        <v>3</v>
      </c>
      <c r="BA38" s="389">
        <f t="shared" si="69"/>
        <v>4</v>
      </c>
      <c r="BB38" s="377">
        <f t="shared" si="85"/>
        <v>0.75</v>
      </c>
      <c r="BC38" s="391">
        <f t="shared" si="86"/>
        <v>5</v>
      </c>
      <c r="BD38" s="389">
        <f t="shared" si="87"/>
        <v>8</v>
      </c>
      <c r="BE38" s="377">
        <f t="shared" si="88"/>
        <v>0.625</v>
      </c>
      <c r="BF38" s="486">
        <v>4</v>
      </c>
      <c r="BG38" s="389">
        <f t="shared" si="70"/>
        <v>6</v>
      </c>
      <c r="BH38" s="376">
        <f t="shared" si="89"/>
        <v>0.66666666666666663</v>
      </c>
      <c r="BI38" s="391">
        <v>0</v>
      </c>
      <c r="BJ38" s="389">
        <f t="shared" si="71"/>
        <v>1</v>
      </c>
      <c r="BK38" s="377">
        <f t="shared" si="90"/>
        <v>0</v>
      </c>
      <c r="BL38" s="391">
        <f t="shared" si="91"/>
        <v>4</v>
      </c>
      <c r="BM38" s="389">
        <f t="shared" si="92"/>
        <v>7</v>
      </c>
      <c r="BN38" s="377">
        <f t="shared" si="93"/>
        <v>0.5714285714285714</v>
      </c>
      <c r="BO38" s="423">
        <v>1</v>
      </c>
      <c r="BP38" s="319">
        <f t="shared" si="72"/>
        <v>1</v>
      </c>
      <c r="BQ38" s="215">
        <f t="shared" si="94"/>
        <v>1</v>
      </c>
      <c r="BR38" s="318">
        <v>3</v>
      </c>
      <c r="BS38" s="319">
        <f t="shared" si="73"/>
        <v>4</v>
      </c>
      <c r="BT38" s="215">
        <f t="shared" si="100"/>
        <v>0.75</v>
      </c>
      <c r="BU38" s="318">
        <f t="shared" si="96"/>
        <v>4</v>
      </c>
      <c r="BV38" s="319">
        <f t="shared" si="97"/>
        <v>5</v>
      </c>
      <c r="BW38" s="215">
        <f t="shared" si="98"/>
        <v>0.8</v>
      </c>
      <c r="BX38" s="299"/>
    </row>
    <row r="39" spans="1:76" x14ac:dyDescent="0.2">
      <c r="A39" s="511"/>
      <c r="B39" s="369"/>
      <c r="C39" s="369" t="s">
        <v>24</v>
      </c>
      <c r="D39" s="413">
        <v>11</v>
      </c>
      <c r="E39" s="414">
        <v>18</v>
      </c>
      <c r="F39" s="376">
        <v>0.61111111111111116</v>
      </c>
      <c r="G39" s="388">
        <v>21</v>
      </c>
      <c r="H39" s="389">
        <v>36</v>
      </c>
      <c r="I39" s="376">
        <v>0.58333333333333337</v>
      </c>
      <c r="J39" s="389">
        <v>32</v>
      </c>
      <c r="K39" s="389">
        <v>54</v>
      </c>
      <c r="L39" s="376">
        <v>0.59259259259259256</v>
      </c>
      <c r="M39" s="388">
        <v>18</v>
      </c>
      <c r="N39" s="389">
        <v>24</v>
      </c>
      <c r="O39" s="376">
        <v>0.75</v>
      </c>
      <c r="P39" s="388">
        <v>17</v>
      </c>
      <c r="Q39" s="389">
        <v>31</v>
      </c>
      <c r="R39" s="377">
        <v>0.54838709677419351</v>
      </c>
      <c r="S39" s="389">
        <v>35</v>
      </c>
      <c r="T39" s="389">
        <v>55</v>
      </c>
      <c r="U39" s="376">
        <v>0.63636363636363635</v>
      </c>
      <c r="V39" s="409">
        <v>3</v>
      </c>
      <c r="W39" s="410">
        <v>5</v>
      </c>
      <c r="X39" s="376">
        <v>0.6</v>
      </c>
      <c r="Y39" s="391">
        <v>6</v>
      </c>
      <c r="Z39" s="389">
        <v>13</v>
      </c>
      <c r="AA39" s="377">
        <v>0.46153846153846156</v>
      </c>
      <c r="AB39" s="391">
        <v>9</v>
      </c>
      <c r="AC39" s="389">
        <v>18</v>
      </c>
      <c r="AD39" s="377">
        <v>0.5</v>
      </c>
      <c r="AE39" s="391">
        <v>0</v>
      </c>
      <c r="AF39" s="389">
        <f t="shared" si="64"/>
        <v>4</v>
      </c>
      <c r="AG39" s="376">
        <f t="shared" si="74"/>
        <v>0</v>
      </c>
      <c r="AH39" s="391">
        <v>5</v>
      </c>
      <c r="AI39" s="389">
        <f t="shared" si="65"/>
        <v>6</v>
      </c>
      <c r="AJ39" s="377">
        <f t="shared" si="75"/>
        <v>0.83333333333333337</v>
      </c>
      <c r="AK39" s="391">
        <f t="shared" si="76"/>
        <v>5</v>
      </c>
      <c r="AL39" s="389">
        <f t="shared" si="77"/>
        <v>10</v>
      </c>
      <c r="AM39" s="377">
        <f t="shared" si="78"/>
        <v>0.5</v>
      </c>
      <c r="AN39" s="391">
        <v>3</v>
      </c>
      <c r="AO39" s="389">
        <f t="shared" si="66"/>
        <v>8</v>
      </c>
      <c r="AP39" s="376">
        <f t="shared" si="79"/>
        <v>0.375</v>
      </c>
      <c r="AQ39" s="391">
        <v>13</v>
      </c>
      <c r="AR39" s="389">
        <f t="shared" si="67"/>
        <v>20</v>
      </c>
      <c r="AS39" s="377">
        <f t="shared" si="80"/>
        <v>0.65</v>
      </c>
      <c r="AT39" s="391">
        <f t="shared" si="81"/>
        <v>16</v>
      </c>
      <c r="AU39" s="389">
        <f t="shared" si="82"/>
        <v>28</v>
      </c>
      <c r="AV39" s="377">
        <f t="shared" si="83"/>
        <v>0.5714285714285714</v>
      </c>
      <c r="AW39" s="391">
        <v>2</v>
      </c>
      <c r="AX39" s="389">
        <f t="shared" si="68"/>
        <v>4</v>
      </c>
      <c r="AY39" s="376">
        <f t="shared" si="99"/>
        <v>0.5</v>
      </c>
      <c r="AZ39" s="391">
        <v>4</v>
      </c>
      <c r="BA39" s="389">
        <f t="shared" si="69"/>
        <v>10</v>
      </c>
      <c r="BB39" s="377">
        <f t="shared" si="85"/>
        <v>0.4</v>
      </c>
      <c r="BC39" s="391">
        <f t="shared" si="86"/>
        <v>6</v>
      </c>
      <c r="BD39" s="389">
        <f t="shared" si="87"/>
        <v>14</v>
      </c>
      <c r="BE39" s="377">
        <f t="shared" si="88"/>
        <v>0.42857142857142855</v>
      </c>
      <c r="BF39" s="486">
        <v>6</v>
      </c>
      <c r="BG39" s="389">
        <f t="shared" si="70"/>
        <v>11</v>
      </c>
      <c r="BH39" s="376">
        <f t="shared" si="89"/>
        <v>0.54545454545454541</v>
      </c>
      <c r="BI39" s="391">
        <v>4</v>
      </c>
      <c r="BJ39" s="389">
        <f t="shared" si="71"/>
        <v>9</v>
      </c>
      <c r="BK39" s="377">
        <f t="shared" si="90"/>
        <v>0.44444444444444442</v>
      </c>
      <c r="BL39" s="391">
        <f t="shared" si="91"/>
        <v>10</v>
      </c>
      <c r="BM39" s="389">
        <f t="shared" si="92"/>
        <v>20</v>
      </c>
      <c r="BN39" s="377">
        <f t="shared" si="93"/>
        <v>0.5</v>
      </c>
      <c r="BO39" s="423">
        <v>3</v>
      </c>
      <c r="BP39" s="319">
        <f t="shared" si="72"/>
        <v>6</v>
      </c>
      <c r="BQ39" s="215">
        <f t="shared" si="94"/>
        <v>0.5</v>
      </c>
      <c r="BR39" s="318">
        <v>6</v>
      </c>
      <c r="BS39" s="319">
        <f t="shared" si="73"/>
        <v>9</v>
      </c>
      <c r="BT39" s="215">
        <f t="shared" si="100"/>
        <v>0.66666666666666663</v>
      </c>
      <c r="BU39" s="318">
        <f t="shared" si="96"/>
        <v>9</v>
      </c>
      <c r="BV39" s="319">
        <f t="shared" si="97"/>
        <v>15</v>
      </c>
      <c r="BW39" s="215">
        <f t="shared" si="98"/>
        <v>0.6</v>
      </c>
      <c r="BX39" s="299"/>
    </row>
    <row r="40" spans="1:76" x14ac:dyDescent="0.2">
      <c r="A40" s="511"/>
      <c r="B40" s="493"/>
      <c r="C40" s="397" t="s">
        <v>19</v>
      </c>
      <c r="D40" s="415">
        <v>14</v>
      </c>
      <c r="E40" s="416">
        <v>24</v>
      </c>
      <c r="F40" s="400">
        <v>0.58333333333333337</v>
      </c>
      <c r="G40" s="401">
        <v>24</v>
      </c>
      <c r="H40" s="402">
        <v>35</v>
      </c>
      <c r="I40" s="400">
        <v>0.68571428571428572</v>
      </c>
      <c r="J40" s="402">
        <v>38</v>
      </c>
      <c r="K40" s="402">
        <v>59</v>
      </c>
      <c r="L40" s="400">
        <v>0.64406779661016944</v>
      </c>
      <c r="M40" s="401">
        <v>21</v>
      </c>
      <c r="N40" s="402">
        <v>35</v>
      </c>
      <c r="O40" s="400">
        <v>0.6</v>
      </c>
      <c r="P40" s="401">
        <v>26</v>
      </c>
      <c r="Q40" s="402">
        <v>35</v>
      </c>
      <c r="R40" s="405">
        <v>0.74285714285714288</v>
      </c>
      <c r="S40" s="402">
        <v>47</v>
      </c>
      <c r="T40" s="402">
        <v>70</v>
      </c>
      <c r="U40" s="400">
        <v>0.67142857142857137</v>
      </c>
      <c r="V40" s="417">
        <v>8</v>
      </c>
      <c r="W40" s="418">
        <v>12</v>
      </c>
      <c r="X40" s="400">
        <v>0.66666666666666663</v>
      </c>
      <c r="Y40" s="404">
        <v>9</v>
      </c>
      <c r="Z40" s="402">
        <v>13</v>
      </c>
      <c r="AA40" s="405">
        <v>0.69230769230769229</v>
      </c>
      <c r="AB40" s="404">
        <v>17</v>
      </c>
      <c r="AC40" s="402">
        <v>25</v>
      </c>
      <c r="AD40" s="405">
        <v>0.68</v>
      </c>
      <c r="AE40" s="404">
        <v>12</v>
      </c>
      <c r="AF40" s="402">
        <f t="shared" si="64"/>
        <v>21</v>
      </c>
      <c r="AG40" s="400">
        <f t="shared" si="74"/>
        <v>0.5714285714285714</v>
      </c>
      <c r="AH40" s="404">
        <v>16</v>
      </c>
      <c r="AI40" s="402">
        <f t="shared" si="65"/>
        <v>19</v>
      </c>
      <c r="AJ40" s="405">
        <f t="shared" si="75"/>
        <v>0.84210526315789469</v>
      </c>
      <c r="AK40" s="404">
        <f t="shared" si="76"/>
        <v>28</v>
      </c>
      <c r="AL40" s="402">
        <f t="shared" si="77"/>
        <v>40</v>
      </c>
      <c r="AM40" s="405">
        <f t="shared" si="78"/>
        <v>0.7</v>
      </c>
      <c r="AN40" s="404">
        <v>10</v>
      </c>
      <c r="AO40" s="402">
        <f t="shared" si="66"/>
        <v>17</v>
      </c>
      <c r="AP40" s="400">
        <f t="shared" si="79"/>
        <v>0.58823529411764708</v>
      </c>
      <c r="AQ40" s="404">
        <v>17</v>
      </c>
      <c r="AR40" s="402">
        <f t="shared" si="67"/>
        <v>20</v>
      </c>
      <c r="AS40" s="405">
        <f t="shared" si="80"/>
        <v>0.85</v>
      </c>
      <c r="AT40" s="404">
        <f t="shared" si="81"/>
        <v>27</v>
      </c>
      <c r="AU40" s="402">
        <f t="shared" si="82"/>
        <v>37</v>
      </c>
      <c r="AV40" s="405">
        <f t="shared" si="83"/>
        <v>0.72972972972972971</v>
      </c>
      <c r="AW40" s="404">
        <v>14</v>
      </c>
      <c r="AX40" s="402">
        <f t="shared" si="68"/>
        <v>20</v>
      </c>
      <c r="AY40" s="400">
        <f t="shared" si="99"/>
        <v>0.7</v>
      </c>
      <c r="AZ40" s="404">
        <v>16</v>
      </c>
      <c r="BA40" s="402">
        <f t="shared" si="69"/>
        <v>20</v>
      </c>
      <c r="BB40" s="405">
        <f t="shared" si="85"/>
        <v>0.8</v>
      </c>
      <c r="BC40" s="404">
        <f t="shared" si="86"/>
        <v>30</v>
      </c>
      <c r="BD40" s="402">
        <f t="shared" si="87"/>
        <v>40</v>
      </c>
      <c r="BE40" s="405">
        <f t="shared" si="88"/>
        <v>0.75</v>
      </c>
      <c r="BF40" s="487">
        <v>12</v>
      </c>
      <c r="BG40" s="402">
        <f t="shared" si="70"/>
        <v>15</v>
      </c>
      <c r="BH40" s="400">
        <f t="shared" si="89"/>
        <v>0.8</v>
      </c>
      <c r="BI40" s="404">
        <v>15</v>
      </c>
      <c r="BJ40" s="402">
        <f t="shared" si="71"/>
        <v>19</v>
      </c>
      <c r="BK40" s="405">
        <f t="shared" si="90"/>
        <v>0.78947368421052633</v>
      </c>
      <c r="BL40" s="404">
        <f t="shared" si="91"/>
        <v>27</v>
      </c>
      <c r="BM40" s="402">
        <f t="shared" si="92"/>
        <v>34</v>
      </c>
      <c r="BN40" s="405">
        <f t="shared" si="93"/>
        <v>0.79411764705882348</v>
      </c>
      <c r="BO40" s="424">
        <v>14</v>
      </c>
      <c r="BP40" s="321">
        <f t="shared" si="72"/>
        <v>25</v>
      </c>
      <c r="BQ40" s="322">
        <f t="shared" si="94"/>
        <v>0.56000000000000005</v>
      </c>
      <c r="BR40" s="320">
        <v>8</v>
      </c>
      <c r="BS40" s="321">
        <f t="shared" si="73"/>
        <v>12</v>
      </c>
      <c r="BT40" s="322">
        <f t="shared" si="100"/>
        <v>0.66666666666666663</v>
      </c>
      <c r="BU40" s="320">
        <f t="shared" si="96"/>
        <v>22</v>
      </c>
      <c r="BV40" s="321">
        <f t="shared" si="97"/>
        <v>37</v>
      </c>
      <c r="BW40" s="322">
        <f t="shared" si="98"/>
        <v>0.59459459459459463</v>
      </c>
      <c r="BX40" s="299"/>
    </row>
    <row r="41" spans="1:76" x14ac:dyDescent="0.2">
      <c r="A41" s="511"/>
      <c r="B41" s="494"/>
      <c r="C41" s="177" t="s">
        <v>12</v>
      </c>
      <c r="D41" s="304">
        <f>SUM(D32:D40)</f>
        <v>314</v>
      </c>
      <c r="E41" s="305">
        <f>SUM(E32:E40)</f>
        <v>497</v>
      </c>
      <c r="F41" s="332">
        <v>0.63179074446680084</v>
      </c>
      <c r="G41" s="333">
        <v>527</v>
      </c>
      <c r="H41" s="334">
        <v>731</v>
      </c>
      <c r="I41" s="332">
        <v>0.72093023255813948</v>
      </c>
      <c r="J41" s="334">
        <v>841</v>
      </c>
      <c r="K41" s="334">
        <v>1228</v>
      </c>
      <c r="L41" s="332">
        <v>0.68485342019543971</v>
      </c>
      <c r="M41" s="333">
        <v>326</v>
      </c>
      <c r="N41" s="334">
        <v>507</v>
      </c>
      <c r="O41" s="332">
        <v>0.64299802761341218</v>
      </c>
      <c r="P41" s="333">
        <v>545</v>
      </c>
      <c r="Q41" s="334">
        <v>732</v>
      </c>
      <c r="R41" s="335">
        <v>0.74453551912568305</v>
      </c>
      <c r="S41" s="334">
        <v>871</v>
      </c>
      <c r="T41" s="334">
        <v>1239</v>
      </c>
      <c r="U41" s="332">
        <v>0.70298627925746571</v>
      </c>
      <c r="V41" s="311">
        <v>266</v>
      </c>
      <c r="W41" s="312">
        <v>418</v>
      </c>
      <c r="X41" s="332">
        <v>0.63636363636363635</v>
      </c>
      <c r="Y41" s="354">
        <v>516</v>
      </c>
      <c r="Z41" s="334">
        <v>722</v>
      </c>
      <c r="AA41" s="335">
        <v>0.71468144044321325</v>
      </c>
      <c r="AB41" s="354">
        <v>782</v>
      </c>
      <c r="AC41" s="334">
        <v>1140</v>
      </c>
      <c r="AD41" s="335">
        <v>0.68596491228070178</v>
      </c>
      <c r="AE41" s="354">
        <f>SUM(AE32:AE40)</f>
        <v>320</v>
      </c>
      <c r="AF41" s="334">
        <f>SUM(AF32:AF40)</f>
        <v>487</v>
      </c>
      <c r="AG41" s="332">
        <f t="shared" si="74"/>
        <v>0.65708418891170428</v>
      </c>
      <c r="AH41" s="354">
        <f>SUM(AH32:AH40)</f>
        <v>536</v>
      </c>
      <c r="AI41" s="334">
        <f>SUM(AI32:AI40)</f>
        <v>698</v>
      </c>
      <c r="AJ41" s="335">
        <f t="shared" si="75"/>
        <v>0.76790830945558741</v>
      </c>
      <c r="AK41" s="354">
        <f>SUM(AK32:AK40)</f>
        <v>856</v>
      </c>
      <c r="AL41" s="334">
        <f>SUM(AL32:AL40)</f>
        <v>1185</v>
      </c>
      <c r="AM41" s="335">
        <f t="shared" si="78"/>
        <v>0.72236286919831227</v>
      </c>
      <c r="AN41" s="354">
        <f>SUM(AN32:AN40)</f>
        <v>345</v>
      </c>
      <c r="AO41" s="334">
        <f>SUM(AO32:AO40)</f>
        <v>540</v>
      </c>
      <c r="AP41" s="332">
        <f t="shared" si="79"/>
        <v>0.63888888888888884</v>
      </c>
      <c r="AQ41" s="354">
        <f>SUM(AQ32:AQ40)</f>
        <v>565</v>
      </c>
      <c r="AR41" s="334">
        <f>SUM(AR32:AR40)</f>
        <v>787</v>
      </c>
      <c r="AS41" s="335">
        <f t="shared" si="80"/>
        <v>0.71791613722998726</v>
      </c>
      <c r="AT41" s="354">
        <f>SUM(AT32:AT40)</f>
        <v>910</v>
      </c>
      <c r="AU41" s="334">
        <f>SUM(AU32:AU40)</f>
        <v>1327</v>
      </c>
      <c r="AV41" s="335">
        <f t="shared" si="83"/>
        <v>0.68575734740015071</v>
      </c>
      <c r="AW41" s="354">
        <f>SUM(AW32:AW40)</f>
        <v>354</v>
      </c>
      <c r="AX41" s="334">
        <f>SUM(AX32:AX40)</f>
        <v>555</v>
      </c>
      <c r="AY41" s="332">
        <f t="shared" si="99"/>
        <v>0.63783783783783787</v>
      </c>
      <c r="AZ41" s="354">
        <f>SUM(AZ32:AZ40)</f>
        <v>539</v>
      </c>
      <c r="BA41" s="334">
        <f>SUM(BA32:BA40)</f>
        <v>769</v>
      </c>
      <c r="BB41" s="335">
        <f t="shared" si="85"/>
        <v>0.70091027308192455</v>
      </c>
      <c r="BC41" s="354">
        <f>SUM(BC32:BC40)</f>
        <v>893</v>
      </c>
      <c r="BD41" s="334">
        <f>SUM(BD32:BD40)</f>
        <v>1324</v>
      </c>
      <c r="BE41" s="335">
        <f t="shared" si="88"/>
        <v>0.67447129909365555</v>
      </c>
      <c r="BF41" s="488">
        <f>SUM(BF32:BF40)</f>
        <v>337</v>
      </c>
      <c r="BG41" s="334">
        <f>SUM(BG32:BG40)</f>
        <v>543</v>
      </c>
      <c r="BH41" s="332">
        <f t="shared" si="89"/>
        <v>0.62062615101289131</v>
      </c>
      <c r="BI41" s="354">
        <f>SUM(BI32:BI40)</f>
        <v>538</v>
      </c>
      <c r="BJ41" s="334">
        <f>SUM(BJ32:BJ40)</f>
        <v>741</v>
      </c>
      <c r="BK41" s="335">
        <f t="shared" si="90"/>
        <v>0.72604588394062075</v>
      </c>
      <c r="BL41" s="354">
        <f>SUM(BL32:BL40)</f>
        <v>875</v>
      </c>
      <c r="BM41" s="334">
        <f>SUM(BM32:BM40)</f>
        <v>1284</v>
      </c>
      <c r="BN41" s="335">
        <f t="shared" si="93"/>
        <v>0.68146417445482865</v>
      </c>
      <c r="BO41" s="424">
        <f>SUM(BO32:BO40)</f>
        <v>374</v>
      </c>
      <c r="BP41" s="321">
        <f>SUM(BP32:BP40)</f>
        <v>655</v>
      </c>
      <c r="BQ41" s="322">
        <f t="shared" si="94"/>
        <v>0.57099236641221374</v>
      </c>
      <c r="BR41" s="320">
        <f>SUM(BR32:BR40)</f>
        <v>524</v>
      </c>
      <c r="BS41" s="321">
        <f>SUM(BS32:BS40)</f>
        <v>811</v>
      </c>
      <c r="BT41" s="322">
        <f t="shared" si="100"/>
        <v>0.64611590628853266</v>
      </c>
      <c r="BU41" s="320">
        <f>SUM(BU32:BU40)</f>
        <v>898</v>
      </c>
      <c r="BV41" s="321">
        <f>SUM(BV32:BV40)</f>
        <v>1466</v>
      </c>
      <c r="BW41" s="322">
        <f t="shared" si="98"/>
        <v>0.61255115961800821</v>
      </c>
      <c r="BX41" s="299"/>
    </row>
    <row r="42" spans="1:76" x14ac:dyDescent="0.2">
      <c r="A42" s="299"/>
      <c r="B42" s="297" t="s">
        <v>54</v>
      </c>
      <c r="C42" s="299"/>
      <c r="D42" s="299"/>
      <c r="E42" s="299"/>
      <c r="F42" s="310"/>
      <c r="G42" s="299"/>
      <c r="H42" s="299"/>
      <c r="I42" s="310"/>
      <c r="J42" s="299"/>
      <c r="K42" s="299"/>
      <c r="L42" s="310"/>
      <c r="M42" s="299"/>
      <c r="N42" s="299"/>
      <c r="O42" s="310"/>
      <c r="P42" s="299"/>
      <c r="Q42" s="299"/>
      <c r="R42" s="310"/>
      <c r="S42" s="299"/>
      <c r="T42" s="299"/>
      <c r="U42" s="310"/>
      <c r="V42" s="299"/>
      <c r="W42" s="299"/>
      <c r="X42" s="310"/>
      <c r="Y42" s="299"/>
      <c r="Z42" s="299"/>
      <c r="AA42" s="310"/>
      <c r="AB42" s="299"/>
      <c r="AC42" s="299"/>
      <c r="AD42" s="310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299"/>
      <c r="BB42" s="299"/>
      <c r="BC42" s="299"/>
      <c r="BD42" s="299"/>
      <c r="BE42" s="299"/>
      <c r="BF42" s="299"/>
      <c r="BG42" s="299"/>
      <c r="BH42" s="299"/>
      <c r="BI42" s="299"/>
      <c r="BJ42" s="299"/>
      <c r="BK42" s="299"/>
      <c r="BL42" s="299"/>
      <c r="BM42" s="299"/>
      <c r="BN42" s="299"/>
      <c r="BQ42" s="299"/>
      <c r="BR42" s="299"/>
      <c r="BS42" s="299"/>
      <c r="BT42" s="299"/>
      <c r="BU42" s="299"/>
      <c r="BV42" s="299"/>
      <c r="BW42" s="299"/>
      <c r="BX42" s="299"/>
    </row>
    <row r="43" spans="1:76" x14ac:dyDescent="0.2">
      <c r="A43" s="299"/>
      <c r="B43" s="298" t="s">
        <v>53</v>
      </c>
      <c r="C43" s="299"/>
      <c r="D43" s="299"/>
      <c r="E43" s="299"/>
      <c r="F43" s="310"/>
      <c r="G43" s="299"/>
      <c r="H43" s="299"/>
      <c r="I43" s="310"/>
      <c r="J43" s="299"/>
      <c r="K43" s="299"/>
      <c r="L43" s="310"/>
      <c r="M43" s="299"/>
      <c r="N43" s="299"/>
      <c r="O43" s="310"/>
      <c r="P43" s="299"/>
      <c r="Q43" s="299"/>
      <c r="R43" s="310"/>
      <c r="S43" s="299"/>
      <c r="T43" s="299"/>
      <c r="U43" s="310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299"/>
      <c r="BG43" s="299"/>
      <c r="BH43" s="299"/>
      <c r="BI43" s="299"/>
      <c r="BJ43" s="299"/>
      <c r="BK43" s="299"/>
      <c r="BL43" s="299"/>
      <c r="BM43" s="299"/>
      <c r="BN43" s="299"/>
      <c r="BO43" s="299"/>
      <c r="BQ43" s="299"/>
      <c r="BR43" s="299"/>
      <c r="BS43" s="299"/>
      <c r="BT43" s="299"/>
      <c r="BU43" s="299"/>
      <c r="BV43" s="299"/>
      <c r="BW43" s="299"/>
      <c r="BX43" s="299"/>
    </row>
    <row r="44" spans="1:76" x14ac:dyDescent="0.2">
      <c r="BQ44" s="299"/>
      <c r="BR44" s="299"/>
      <c r="BS44" s="299"/>
      <c r="BT44" s="299"/>
      <c r="BU44" s="299"/>
      <c r="BV44" s="299"/>
      <c r="BW44" s="299"/>
      <c r="BX44" s="299"/>
    </row>
  </sheetData>
  <mergeCells count="51">
    <mergeCell ref="B23:C23"/>
    <mergeCell ref="AW5:AY5"/>
    <mergeCell ref="AT5:AV5"/>
    <mergeCell ref="B38:C38"/>
    <mergeCell ref="B35:C35"/>
    <mergeCell ref="B34:C34"/>
    <mergeCell ref="AQ5:AS5"/>
    <mergeCell ref="M5:O5"/>
    <mergeCell ref="P5:R5"/>
    <mergeCell ref="S5:U5"/>
    <mergeCell ref="B18:BW18"/>
    <mergeCell ref="B30:BW30"/>
    <mergeCell ref="D4:L4"/>
    <mergeCell ref="M4:U4"/>
    <mergeCell ref="B33:C33"/>
    <mergeCell ref="B9:C9"/>
    <mergeCell ref="B20:C20"/>
    <mergeCell ref="B21:C21"/>
    <mergeCell ref="B8:C8"/>
    <mergeCell ref="B10:C10"/>
    <mergeCell ref="B11:C11"/>
    <mergeCell ref="B14:C14"/>
    <mergeCell ref="B32:C32"/>
    <mergeCell ref="B22:C22"/>
    <mergeCell ref="B26:C26"/>
    <mergeCell ref="D5:F5"/>
    <mergeCell ref="G5:I5"/>
    <mergeCell ref="J5:L5"/>
    <mergeCell ref="BR5:BT5"/>
    <mergeCell ref="BU5:BW5"/>
    <mergeCell ref="Y5:AA5"/>
    <mergeCell ref="V4:AD4"/>
    <mergeCell ref="BF5:BH5"/>
    <mergeCell ref="V5:X5"/>
    <mergeCell ref="AZ5:BB5"/>
    <mergeCell ref="B1:BW1"/>
    <mergeCell ref="B2:BW2"/>
    <mergeCell ref="BL5:BN5"/>
    <mergeCell ref="BF4:BN4"/>
    <mergeCell ref="BI5:BK5"/>
    <mergeCell ref="AW4:BE4"/>
    <mergeCell ref="AN4:AV4"/>
    <mergeCell ref="AB5:AD5"/>
    <mergeCell ref="AE4:AM4"/>
    <mergeCell ref="AE5:AG5"/>
    <mergeCell ref="AH5:AJ5"/>
    <mergeCell ref="AK5:AM5"/>
    <mergeCell ref="BC5:BE5"/>
    <mergeCell ref="AN5:AP5"/>
    <mergeCell ref="BO4:BW4"/>
    <mergeCell ref="BO5:BQ5"/>
  </mergeCells>
  <pageMargins left="0.7" right="0.7" top="0.75" bottom="0.75" header="0.3" footer="0.3"/>
  <pageSetup orientation="portrait" verticalDpi="0" r:id="rId1"/>
  <ignoredErrors>
    <ignoredError sqref="BF17:BK17 AA15:AD17 BH15:BH16 BK15:BK16 BF29:BK29 BG20:BH23 BJ20:BK23 BF41:BK41 BG32:BH35 BJ32:BK35 BF19:BH19 BJ19:BK19 BF31:BH31 BJ31:BK31 BG37:BH40 BG36 BG25:BH28 BG24 AE15:AM17 AE4:AV14 AN15:AV15 BJ25:BK28 BJ24 BJ37:BK40 BJ36 AA31:AD41 AE31:AM41 AN31:AU41 AA19:AD29 AE19:AM29 AN19:AU29 AN16:AU17 AV19:AV29 AV31:AV41 AV16:AV17 AW19:BE29 AW16:BE17 AW31:BE41 BN17 BQ17 BT17 BN29 BQ29 BT29 BN41 BQ41 BT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4"/>
  <sheetViews>
    <sheetView workbookViewId="0">
      <selection activeCell="AJ21" sqref="AJ21"/>
    </sheetView>
  </sheetViews>
  <sheetFormatPr defaultRowHeight="14.4" x14ac:dyDescent="0.3"/>
  <cols>
    <col min="1" max="1" width="15.33203125" customWidth="1"/>
    <col min="2" max="2" width="29.88671875" customWidth="1"/>
    <col min="3" max="11" width="9" hidden="1" customWidth="1"/>
    <col min="12" max="23" width="0" hidden="1" customWidth="1"/>
  </cols>
  <sheetData>
    <row r="1" spans="1:32" x14ac:dyDescent="0.3">
      <c r="A1" s="3" t="s">
        <v>35</v>
      </c>
    </row>
    <row r="2" spans="1:32" x14ac:dyDescent="0.3">
      <c r="A2" s="3"/>
    </row>
    <row r="3" spans="1:32" x14ac:dyDescent="0.3">
      <c r="A3" s="549" t="s">
        <v>34</v>
      </c>
      <c r="B3" s="550"/>
      <c r="C3" s="553" t="s">
        <v>43</v>
      </c>
      <c r="D3" s="554"/>
      <c r="E3" s="554"/>
      <c r="F3" s="546" t="s">
        <v>44</v>
      </c>
      <c r="G3" s="547"/>
      <c r="H3" s="547"/>
      <c r="I3" s="546" t="s">
        <v>45</v>
      </c>
      <c r="J3" s="547"/>
      <c r="K3" s="548"/>
      <c r="L3" s="546" t="s">
        <v>46</v>
      </c>
      <c r="M3" s="547"/>
      <c r="N3" s="548"/>
      <c r="O3" s="546" t="s">
        <v>48</v>
      </c>
      <c r="P3" s="547"/>
      <c r="Q3" s="548"/>
      <c r="R3" s="546" t="s">
        <v>55</v>
      </c>
      <c r="S3" s="547"/>
      <c r="T3" s="548"/>
      <c r="U3" s="546" t="s">
        <v>56</v>
      </c>
      <c r="V3" s="547"/>
      <c r="W3" s="548"/>
      <c r="X3" s="546" t="s">
        <v>59</v>
      </c>
      <c r="Y3" s="547"/>
      <c r="Z3" s="548"/>
      <c r="AA3" s="546" t="s">
        <v>61</v>
      </c>
      <c r="AB3" s="547"/>
      <c r="AC3" s="548"/>
      <c r="AD3" s="546" t="s">
        <v>63</v>
      </c>
      <c r="AE3" s="547"/>
      <c r="AF3" s="548"/>
    </row>
    <row r="4" spans="1:32" ht="26.25" customHeight="1" x14ac:dyDescent="0.3">
      <c r="A4" s="551"/>
      <c r="B4" s="552"/>
      <c r="C4" s="61" t="s">
        <v>32</v>
      </c>
      <c r="D4" s="62" t="s">
        <v>31</v>
      </c>
      <c r="E4" s="63" t="s">
        <v>33</v>
      </c>
      <c r="F4" s="61" t="s">
        <v>32</v>
      </c>
      <c r="G4" s="62" t="s">
        <v>31</v>
      </c>
      <c r="H4" s="63" t="s">
        <v>33</v>
      </c>
      <c r="I4" s="65" t="s">
        <v>32</v>
      </c>
      <c r="J4" s="66" t="s">
        <v>31</v>
      </c>
      <c r="K4" s="64" t="s">
        <v>33</v>
      </c>
      <c r="L4" s="65" t="s">
        <v>32</v>
      </c>
      <c r="M4" s="66" t="s">
        <v>31</v>
      </c>
      <c r="N4" s="64" t="s">
        <v>33</v>
      </c>
      <c r="O4" s="65" t="s">
        <v>32</v>
      </c>
      <c r="P4" s="66" t="s">
        <v>31</v>
      </c>
      <c r="Q4" s="64" t="s">
        <v>33</v>
      </c>
      <c r="R4" s="65" t="s">
        <v>32</v>
      </c>
      <c r="S4" s="66" t="s">
        <v>31</v>
      </c>
      <c r="T4" s="64" t="s">
        <v>33</v>
      </c>
      <c r="U4" s="65" t="s">
        <v>32</v>
      </c>
      <c r="V4" s="66" t="s">
        <v>31</v>
      </c>
      <c r="W4" s="64" t="s">
        <v>33</v>
      </c>
      <c r="X4" s="65" t="s">
        <v>32</v>
      </c>
      <c r="Y4" s="66" t="s">
        <v>31</v>
      </c>
      <c r="Z4" s="64" t="s">
        <v>33</v>
      </c>
      <c r="AA4" s="65" t="s">
        <v>32</v>
      </c>
      <c r="AB4" s="66" t="s">
        <v>31</v>
      </c>
      <c r="AC4" s="64" t="s">
        <v>33</v>
      </c>
      <c r="AD4" s="65" t="s">
        <v>32</v>
      </c>
      <c r="AE4" s="66" t="s">
        <v>31</v>
      </c>
      <c r="AF4" s="64" t="s">
        <v>33</v>
      </c>
    </row>
    <row r="5" spans="1:32" ht="21" customHeight="1" x14ac:dyDescent="0.3">
      <c r="A5" s="60" t="s">
        <v>64</v>
      </c>
      <c r="B5" s="67"/>
      <c r="C5" s="69">
        <v>266</v>
      </c>
      <c r="D5" s="70">
        <v>154</v>
      </c>
      <c r="E5" s="74">
        <v>0.58333333333333337</v>
      </c>
      <c r="F5" s="69">
        <v>229</v>
      </c>
      <c r="G5" s="70">
        <v>143</v>
      </c>
      <c r="H5" s="75">
        <v>0.62445414847161573</v>
      </c>
      <c r="I5" s="79">
        <v>201</v>
      </c>
      <c r="J5" s="70">
        <v>126</v>
      </c>
      <c r="K5" s="75">
        <v>0.62686567164179108</v>
      </c>
      <c r="L5" s="79">
        <v>221</v>
      </c>
      <c r="M5" s="70">
        <v>143</v>
      </c>
      <c r="N5" s="75">
        <v>0.6470588235294118</v>
      </c>
      <c r="O5" s="79">
        <v>221</v>
      </c>
      <c r="P5" s="70">
        <v>126</v>
      </c>
      <c r="Q5" s="75">
        <f>P5/O5</f>
        <v>0.57013574660633481</v>
      </c>
      <c r="R5" s="79">
        <v>245</v>
      </c>
      <c r="S5" s="70">
        <v>161</v>
      </c>
      <c r="T5" s="75">
        <f>S5/R5</f>
        <v>0.65714285714285714</v>
      </c>
      <c r="U5" s="79">
        <v>298</v>
      </c>
      <c r="V5" s="70">
        <v>182</v>
      </c>
      <c r="W5" s="75">
        <f>V5/U5</f>
        <v>0.61073825503355705</v>
      </c>
      <c r="X5" s="79">
        <v>319</v>
      </c>
      <c r="Y5" s="70">
        <v>193</v>
      </c>
      <c r="Z5" s="75">
        <f>Y5/X5</f>
        <v>0.60501567398119127</v>
      </c>
      <c r="AA5" s="79">
        <v>281</v>
      </c>
      <c r="AB5" s="70">
        <v>162</v>
      </c>
      <c r="AC5" s="75">
        <f>AB5/AA5</f>
        <v>0.57651245551601427</v>
      </c>
      <c r="AD5" s="499">
        <v>343</v>
      </c>
      <c r="AE5" s="500">
        <v>171</v>
      </c>
      <c r="AF5" s="501">
        <f>AE5/AD5</f>
        <v>0.49854227405247814</v>
      </c>
    </row>
    <row r="6" spans="1:32" ht="7.5" customHeight="1" x14ac:dyDescent="0.3">
      <c r="A6" s="68"/>
      <c r="B6" s="15"/>
      <c r="C6" s="71"/>
      <c r="D6" s="71"/>
      <c r="E6" s="5"/>
      <c r="F6" s="71"/>
      <c r="G6" s="71"/>
      <c r="H6" s="5"/>
      <c r="I6" s="71"/>
      <c r="J6" s="71"/>
      <c r="K6" s="5"/>
      <c r="L6" s="71"/>
      <c r="M6" s="71"/>
      <c r="N6" s="5"/>
      <c r="O6" s="71"/>
      <c r="P6" s="71"/>
      <c r="Q6" s="5"/>
      <c r="R6" s="71"/>
      <c r="S6" s="71"/>
      <c r="T6" s="5"/>
      <c r="U6" s="71"/>
      <c r="V6" s="71"/>
      <c r="W6" s="5"/>
      <c r="X6" s="71"/>
      <c r="Y6" s="71"/>
      <c r="Z6" s="5"/>
      <c r="AA6" s="71"/>
      <c r="AB6" s="71"/>
      <c r="AC6" s="5"/>
      <c r="AD6" s="502"/>
      <c r="AE6" s="502"/>
      <c r="AF6" s="503"/>
    </row>
    <row r="7" spans="1:32" ht="21" customHeight="1" x14ac:dyDescent="0.3">
      <c r="A7" s="60" t="s">
        <v>66</v>
      </c>
      <c r="B7" s="48"/>
      <c r="C7" s="69">
        <v>269</v>
      </c>
      <c r="D7" s="70">
        <v>183</v>
      </c>
      <c r="E7" s="74">
        <v>0.6802973977695167</v>
      </c>
      <c r="F7" s="69">
        <v>231</v>
      </c>
      <c r="G7" s="70">
        <v>155</v>
      </c>
      <c r="H7" s="75">
        <v>0.67099567099567103</v>
      </c>
      <c r="I7" s="80">
        <v>322</v>
      </c>
      <c r="J7" s="70">
        <v>212</v>
      </c>
      <c r="K7" s="75">
        <v>0.65838509316770188</v>
      </c>
      <c r="L7" s="80">
        <v>275</v>
      </c>
      <c r="M7" s="70">
        <v>183</v>
      </c>
      <c r="N7" s="75">
        <v>0.66545454545454541</v>
      </c>
      <c r="O7" s="80">
        <v>243</v>
      </c>
      <c r="P7" s="70">
        <v>176</v>
      </c>
      <c r="Q7" s="75">
        <f>P7/O7</f>
        <v>0.72427983539094654</v>
      </c>
      <c r="R7" s="79">
        <v>260</v>
      </c>
      <c r="S7" s="70">
        <v>184</v>
      </c>
      <c r="T7" s="75">
        <f>S7/R7</f>
        <v>0.70769230769230773</v>
      </c>
      <c r="U7" s="80">
        <v>295</v>
      </c>
      <c r="V7" s="70">
        <v>195</v>
      </c>
      <c r="W7" s="75">
        <f>V7/U7</f>
        <v>0.66101694915254239</v>
      </c>
      <c r="X7" s="80">
        <v>284</v>
      </c>
      <c r="Y7" s="70">
        <v>180</v>
      </c>
      <c r="Z7" s="75">
        <f>Y7/X7</f>
        <v>0.63380281690140849</v>
      </c>
      <c r="AA7" s="79">
        <v>284</v>
      </c>
      <c r="AB7" s="70">
        <v>182</v>
      </c>
      <c r="AC7" s="75">
        <f>AB7/AA7</f>
        <v>0.64084507042253525</v>
      </c>
      <c r="AD7" s="499">
        <v>240</v>
      </c>
      <c r="AE7" s="500">
        <v>148</v>
      </c>
      <c r="AF7" s="501">
        <f>AE7/AD7</f>
        <v>0.6166666666666667</v>
      </c>
    </row>
    <row r="8" spans="1:32" ht="8.25" customHeight="1" x14ac:dyDescent="0.3">
      <c r="A8" s="59"/>
      <c r="B8" s="15"/>
      <c r="C8" s="71"/>
      <c r="D8" s="71"/>
      <c r="E8" s="5"/>
      <c r="F8" s="71"/>
      <c r="G8" s="71"/>
      <c r="H8" s="5"/>
      <c r="I8" s="71"/>
      <c r="J8" s="71"/>
      <c r="K8" s="5"/>
      <c r="L8" s="71"/>
      <c r="M8" s="71"/>
      <c r="N8" s="5"/>
      <c r="O8" s="71"/>
      <c r="P8" s="71"/>
      <c r="Q8" s="5"/>
      <c r="R8" s="71"/>
      <c r="S8" s="71"/>
      <c r="T8" s="5"/>
      <c r="U8" s="71"/>
      <c r="V8" s="71"/>
      <c r="W8" s="5"/>
      <c r="X8" s="71"/>
      <c r="Y8" s="71"/>
      <c r="Z8" s="5"/>
      <c r="AA8" s="71"/>
      <c r="AB8" s="71"/>
      <c r="AC8" s="5"/>
      <c r="AD8" s="502"/>
      <c r="AE8" s="502"/>
      <c r="AF8" s="503"/>
    </row>
    <row r="9" spans="1:32" ht="21" customHeight="1" x14ac:dyDescent="0.3">
      <c r="A9" s="60" t="s">
        <v>65</v>
      </c>
      <c r="B9" s="67"/>
      <c r="C9" s="69">
        <v>715</v>
      </c>
      <c r="D9" s="70">
        <v>519</v>
      </c>
      <c r="E9" s="74">
        <v>0.72587412587412592</v>
      </c>
      <c r="F9" s="69">
        <v>786</v>
      </c>
      <c r="G9" s="70">
        <v>586</v>
      </c>
      <c r="H9" s="75">
        <v>0.74554707379134855</v>
      </c>
      <c r="I9" s="80">
        <v>705</v>
      </c>
      <c r="J9" s="70">
        <v>503</v>
      </c>
      <c r="K9" s="75">
        <v>0.71347517730496457</v>
      </c>
      <c r="L9" s="80">
        <v>743</v>
      </c>
      <c r="M9" s="70">
        <v>545</v>
      </c>
      <c r="N9" s="75">
        <v>0.73351278600269176</v>
      </c>
      <c r="O9" s="80">
        <v>676</v>
      </c>
      <c r="P9" s="70">
        <v>480</v>
      </c>
      <c r="Q9" s="75">
        <f>P9/O9</f>
        <v>0.7100591715976331</v>
      </c>
      <c r="R9" s="79">
        <v>680</v>
      </c>
      <c r="S9" s="70">
        <v>511</v>
      </c>
      <c r="T9" s="75">
        <f>S9/R9</f>
        <v>0.75147058823529411</v>
      </c>
      <c r="U9" s="80">
        <v>734</v>
      </c>
      <c r="V9" s="70">
        <v>533</v>
      </c>
      <c r="W9" s="75">
        <f>V9/U9</f>
        <v>0.72615803814713897</v>
      </c>
      <c r="X9" s="79">
        <v>721</v>
      </c>
      <c r="Y9" s="70">
        <v>520</v>
      </c>
      <c r="Z9" s="75">
        <f>Y9/X9</f>
        <v>0.72122052704576978</v>
      </c>
      <c r="AA9" s="79">
        <v>719</v>
      </c>
      <c r="AB9" s="70">
        <v>531</v>
      </c>
      <c r="AC9" s="75">
        <f>AB9/AA9</f>
        <v>0.73852573018080669</v>
      </c>
      <c r="AD9" s="499">
        <v>883</v>
      </c>
      <c r="AE9" s="500">
        <v>579</v>
      </c>
      <c r="AF9" s="501">
        <f>AE9/AD9</f>
        <v>0.6557191392978482</v>
      </c>
    </row>
    <row r="10" spans="1:32" ht="8.25" customHeight="1" x14ac:dyDescent="0.3">
      <c r="A10" s="59"/>
      <c r="B10" s="15"/>
      <c r="C10" s="71"/>
      <c r="D10" s="71"/>
      <c r="E10" s="5"/>
      <c r="F10" s="71"/>
      <c r="G10" s="71"/>
      <c r="H10" s="5"/>
      <c r="I10" s="71"/>
      <c r="J10" s="71"/>
      <c r="K10" s="5"/>
      <c r="L10" s="71"/>
      <c r="M10" s="71"/>
      <c r="N10" s="5"/>
      <c r="O10" s="71"/>
      <c r="P10" s="71"/>
      <c r="Q10" s="5"/>
      <c r="R10" s="71"/>
      <c r="S10" s="71"/>
      <c r="T10" s="5"/>
      <c r="U10" s="71"/>
      <c r="V10" s="71"/>
      <c r="W10" s="5"/>
      <c r="X10" s="71"/>
      <c r="Y10" s="71"/>
      <c r="Z10" s="5"/>
      <c r="AA10" s="71"/>
      <c r="AB10" s="71"/>
      <c r="AC10" s="5"/>
      <c r="AD10" s="502"/>
      <c r="AE10" s="502"/>
      <c r="AF10" s="503"/>
    </row>
    <row r="11" spans="1:32" ht="21" customHeight="1" x14ac:dyDescent="0.3">
      <c r="A11" s="60" t="s">
        <v>36</v>
      </c>
      <c r="B11" s="48"/>
      <c r="C11" s="69">
        <v>1250</v>
      </c>
      <c r="D11" s="70">
        <v>856</v>
      </c>
      <c r="E11" s="74">
        <v>0.6858974358974359</v>
      </c>
      <c r="F11" s="69">
        <v>1246</v>
      </c>
      <c r="G11" s="70">
        <v>884</v>
      </c>
      <c r="H11" s="74">
        <v>0.70947030497592301</v>
      </c>
      <c r="I11" s="80">
        <v>1228</v>
      </c>
      <c r="J11" s="70">
        <v>841</v>
      </c>
      <c r="K11" s="75">
        <v>0.68485342019543971</v>
      </c>
      <c r="L11" s="80">
        <v>1239</v>
      </c>
      <c r="M11" s="70">
        <v>871</v>
      </c>
      <c r="N11" s="75">
        <v>0.70298627925746571</v>
      </c>
      <c r="O11" s="80">
        <v>1140</v>
      </c>
      <c r="P11" s="70">
        <v>782</v>
      </c>
      <c r="Q11" s="75">
        <f>P11/O11</f>
        <v>0.68596491228070178</v>
      </c>
      <c r="R11" s="80">
        <v>1185</v>
      </c>
      <c r="S11" s="70">
        <v>856</v>
      </c>
      <c r="T11" s="75">
        <f>S11/R11</f>
        <v>0.72236286919831227</v>
      </c>
      <c r="U11" s="80">
        <v>1327</v>
      </c>
      <c r="V11" s="70">
        <v>910</v>
      </c>
      <c r="W11" s="75">
        <f>V11/U11</f>
        <v>0.68575734740015071</v>
      </c>
      <c r="X11" s="80">
        <v>1324</v>
      </c>
      <c r="Y11" s="70">
        <v>893</v>
      </c>
      <c r="Z11" s="75">
        <f>Y11/X11</f>
        <v>0.67447129909365555</v>
      </c>
      <c r="AA11" s="80">
        <f>AA9+AA7+AA5</f>
        <v>1284</v>
      </c>
      <c r="AB11" s="70">
        <f>AB9+AB7+AB5</f>
        <v>875</v>
      </c>
      <c r="AC11" s="75">
        <f>AB11/AA11</f>
        <v>0.68146417445482865</v>
      </c>
      <c r="AD11" s="504">
        <f>AD9+AD7+AD5</f>
        <v>1466</v>
      </c>
      <c r="AE11" s="500">
        <f>AE9+AE7+AE5</f>
        <v>898</v>
      </c>
      <c r="AF11" s="501">
        <f>AE11/AD11</f>
        <v>0.61255115961800821</v>
      </c>
    </row>
    <row r="12" spans="1:32" x14ac:dyDescent="0.3">
      <c r="A12" s="81" t="s">
        <v>26</v>
      </c>
      <c r="B12" s="82" t="s">
        <v>27</v>
      </c>
    </row>
    <row r="13" spans="1:32" x14ac:dyDescent="0.3">
      <c r="A13" s="83" t="s">
        <v>51</v>
      </c>
      <c r="B13" s="84" t="s">
        <v>52</v>
      </c>
    </row>
    <row r="14" spans="1:32" x14ac:dyDescent="0.3">
      <c r="A14" s="1"/>
      <c r="B14" s="2"/>
    </row>
  </sheetData>
  <mergeCells count="11">
    <mergeCell ref="AD3:AF3"/>
    <mergeCell ref="AA3:AC3"/>
    <mergeCell ref="A3:B4"/>
    <mergeCell ref="C3:E3"/>
    <mergeCell ref="I3:K3"/>
    <mergeCell ref="F3:H3"/>
    <mergeCell ref="L3:N3"/>
    <mergeCell ref="O3:Q3"/>
    <mergeCell ref="R3:T3"/>
    <mergeCell ref="U3:W3"/>
    <mergeCell ref="X3:Z3"/>
  </mergeCells>
  <pageMargins left="0.45" right="0.45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"/>
  <sheetViews>
    <sheetView workbookViewId="0">
      <selection activeCell="AE14" sqref="AE14"/>
    </sheetView>
  </sheetViews>
  <sheetFormatPr defaultRowHeight="14.4" x14ac:dyDescent="0.3"/>
  <cols>
    <col min="1" max="1" width="25.44140625" customWidth="1"/>
    <col min="2" max="23" width="9.109375" hidden="1" customWidth="1"/>
    <col min="24" max="29" width="0" hidden="1" customWidth="1"/>
  </cols>
  <sheetData>
    <row r="1" spans="1:35" x14ac:dyDescent="0.3">
      <c r="A1" s="3" t="s">
        <v>20</v>
      </c>
    </row>
    <row r="3" spans="1:35" x14ac:dyDescent="0.3">
      <c r="A3" s="55"/>
      <c r="B3" s="6">
        <v>2003</v>
      </c>
      <c r="C3" s="7"/>
      <c r="D3" s="6">
        <v>2004</v>
      </c>
      <c r="E3" s="7"/>
      <c r="F3" s="6">
        <v>2005</v>
      </c>
      <c r="G3" s="7"/>
      <c r="H3" s="6">
        <v>2006</v>
      </c>
      <c r="I3" s="7"/>
      <c r="J3" s="6">
        <v>2007</v>
      </c>
      <c r="K3" s="7"/>
      <c r="L3" s="6">
        <v>2008</v>
      </c>
      <c r="M3" s="7"/>
      <c r="N3" s="6">
        <v>2009</v>
      </c>
      <c r="O3" s="7"/>
      <c r="P3" s="58">
        <v>2010</v>
      </c>
      <c r="Q3" s="19"/>
      <c r="R3" s="557">
        <v>2011</v>
      </c>
      <c r="S3" s="558"/>
      <c r="T3" s="557">
        <v>2012</v>
      </c>
      <c r="U3" s="558"/>
      <c r="V3" s="557">
        <v>2013</v>
      </c>
      <c r="W3" s="558"/>
      <c r="X3" s="557">
        <v>2014</v>
      </c>
      <c r="Y3" s="558"/>
      <c r="Z3" s="557">
        <v>2015</v>
      </c>
      <c r="AA3" s="559"/>
      <c r="AB3" s="561">
        <v>2016</v>
      </c>
      <c r="AC3" s="559"/>
      <c r="AD3" s="561">
        <v>2017</v>
      </c>
      <c r="AE3" s="560"/>
      <c r="AF3" s="559">
        <v>2018</v>
      </c>
      <c r="AG3" s="560"/>
      <c r="AH3" s="555">
        <v>2019</v>
      </c>
      <c r="AI3" s="556"/>
    </row>
    <row r="4" spans="1:35" x14ac:dyDescent="0.3">
      <c r="A4" s="8"/>
      <c r="B4" s="9"/>
      <c r="C4" s="10" t="s">
        <v>9</v>
      </c>
      <c r="D4" s="9"/>
      <c r="E4" s="10" t="s">
        <v>9</v>
      </c>
      <c r="F4" s="9"/>
      <c r="G4" s="10" t="s">
        <v>9</v>
      </c>
      <c r="H4" s="9"/>
      <c r="I4" s="10" t="s">
        <v>9</v>
      </c>
      <c r="J4" s="9"/>
      <c r="K4" s="10" t="s">
        <v>9</v>
      </c>
      <c r="L4" s="9"/>
      <c r="M4" s="10" t="s">
        <v>9</v>
      </c>
      <c r="N4" s="9"/>
      <c r="O4" s="10" t="s">
        <v>9</v>
      </c>
      <c r="P4" s="16"/>
      <c r="Q4" s="17" t="s">
        <v>9</v>
      </c>
      <c r="R4" s="16"/>
      <c r="S4" s="17" t="s">
        <v>9</v>
      </c>
      <c r="T4" s="16"/>
      <c r="U4" s="17" t="s">
        <v>9</v>
      </c>
      <c r="V4" s="16"/>
      <c r="W4" s="17" t="s">
        <v>9</v>
      </c>
      <c r="X4" s="16"/>
      <c r="Y4" s="17" t="s">
        <v>9</v>
      </c>
      <c r="Z4" s="16"/>
      <c r="AA4" s="446" t="s">
        <v>9</v>
      </c>
      <c r="AB4" s="451"/>
      <c r="AC4" s="446" t="s">
        <v>9</v>
      </c>
      <c r="AD4" s="451"/>
      <c r="AE4" s="452" t="s">
        <v>9</v>
      </c>
      <c r="AF4" s="446"/>
      <c r="AG4" s="452" t="s">
        <v>9</v>
      </c>
      <c r="AH4" s="505"/>
      <c r="AI4" s="506" t="s">
        <v>9</v>
      </c>
    </row>
    <row r="5" spans="1:35" x14ac:dyDescent="0.3">
      <c r="A5" s="11" t="s">
        <v>2</v>
      </c>
      <c r="B5" s="12">
        <v>178</v>
      </c>
      <c r="C5" s="7"/>
      <c r="D5" s="12"/>
      <c r="E5" s="7"/>
      <c r="F5" s="12"/>
      <c r="G5" s="7"/>
      <c r="H5" s="12"/>
      <c r="I5" s="7"/>
      <c r="J5" s="12"/>
      <c r="K5" s="7"/>
      <c r="L5" s="12"/>
      <c r="M5" s="7"/>
      <c r="N5" s="12"/>
      <c r="O5" s="7"/>
      <c r="P5" s="18">
        <v>269</v>
      </c>
      <c r="Q5" s="19"/>
      <c r="R5" s="18">
        <v>231</v>
      </c>
      <c r="S5" s="19"/>
      <c r="T5" s="18">
        <v>322</v>
      </c>
      <c r="U5" s="19"/>
      <c r="V5" s="18">
        <v>275</v>
      </c>
      <c r="W5" s="19"/>
      <c r="X5" s="18">
        <v>243</v>
      </c>
      <c r="Y5" s="19"/>
      <c r="Z5" s="18">
        <v>260</v>
      </c>
      <c r="AA5" s="447"/>
      <c r="AB5" s="453">
        <v>295</v>
      </c>
      <c r="AC5" s="447"/>
      <c r="AD5" s="453">
        <v>284</v>
      </c>
      <c r="AE5" s="454"/>
      <c r="AF5" s="449">
        <v>284</v>
      </c>
      <c r="AG5" s="454"/>
      <c r="AH5" s="507">
        <v>273</v>
      </c>
      <c r="AI5" s="508"/>
    </row>
    <row r="6" spans="1:35" x14ac:dyDescent="0.3">
      <c r="A6" s="13" t="s">
        <v>22</v>
      </c>
      <c r="B6" s="56">
        <v>114</v>
      </c>
      <c r="C6" s="57">
        <f>B6/B5</f>
        <v>0.6404494382022472</v>
      </c>
      <c r="D6" s="56"/>
      <c r="E6" s="57" t="e">
        <f>D6/D5</f>
        <v>#DIV/0!</v>
      </c>
      <c r="F6" s="56"/>
      <c r="G6" s="57" t="e">
        <f>F6/F5</f>
        <v>#DIV/0!</v>
      </c>
      <c r="H6" s="56"/>
      <c r="I6" s="57" t="e">
        <f>H6/H5</f>
        <v>#DIV/0!</v>
      </c>
      <c r="J6" s="56"/>
      <c r="K6" s="57" t="e">
        <f>J6/J5</f>
        <v>#DIV/0!</v>
      </c>
      <c r="L6" s="56"/>
      <c r="M6" s="57" t="e">
        <f>L6/L5</f>
        <v>#DIV/0!</v>
      </c>
      <c r="N6" s="56"/>
      <c r="O6" s="57" t="e">
        <f>N6/N5</f>
        <v>#DIV/0!</v>
      </c>
      <c r="P6" s="20">
        <v>183</v>
      </c>
      <c r="Q6" s="4">
        <v>0.6802973977695167</v>
      </c>
      <c r="R6" s="20">
        <v>155</v>
      </c>
      <c r="S6" s="4">
        <v>0.67099567099567103</v>
      </c>
      <c r="T6" s="20">
        <v>212</v>
      </c>
      <c r="U6" s="4">
        <v>0.65838509316770188</v>
      </c>
      <c r="V6" s="20">
        <v>183</v>
      </c>
      <c r="W6" s="4">
        <v>0.66545454545454541</v>
      </c>
      <c r="X6" s="20">
        <v>176</v>
      </c>
      <c r="Y6" s="4">
        <v>0.72427983539094654</v>
      </c>
      <c r="Z6" s="20">
        <v>184</v>
      </c>
      <c r="AA6" s="448">
        <f>Z6/Z5</f>
        <v>0.70769230769230773</v>
      </c>
      <c r="AB6" s="455">
        <v>195</v>
      </c>
      <c r="AC6" s="448">
        <f>AB6/AB5</f>
        <v>0.66101694915254239</v>
      </c>
      <c r="AD6" s="455">
        <v>180</v>
      </c>
      <c r="AE6" s="456">
        <f>AD6/AD5</f>
        <v>0.63380281690140849</v>
      </c>
      <c r="AF6" s="450">
        <v>182</v>
      </c>
      <c r="AG6" s="456">
        <f>AF6/AF5</f>
        <v>0.64084507042253525</v>
      </c>
      <c r="AH6" s="509">
        <v>187</v>
      </c>
      <c r="AI6" s="510">
        <f>AH6/AH5</f>
        <v>0.68498168498168499</v>
      </c>
    </row>
    <row r="8" spans="1:35" x14ac:dyDescent="0.3">
      <c r="A8" s="81" t="s">
        <v>57</v>
      </c>
      <c r="B8" s="82"/>
      <c r="V8" s="82" t="s">
        <v>27</v>
      </c>
      <c r="AD8" s="366" t="s">
        <v>27</v>
      </c>
    </row>
    <row r="9" spans="1:35" x14ac:dyDescent="0.3">
      <c r="A9" s="83" t="s">
        <v>58</v>
      </c>
      <c r="B9" s="84"/>
      <c r="V9" s="84" t="s">
        <v>52</v>
      </c>
      <c r="AD9" s="366" t="s">
        <v>52</v>
      </c>
    </row>
  </sheetData>
  <mergeCells count="9">
    <mergeCell ref="AH3:AI3"/>
    <mergeCell ref="R3:S3"/>
    <mergeCell ref="T3:U3"/>
    <mergeCell ref="V3:W3"/>
    <mergeCell ref="AF3:AG3"/>
    <mergeCell ref="X3:Y3"/>
    <mergeCell ref="Z3:AA3"/>
    <mergeCell ref="AB3:AC3"/>
    <mergeCell ref="AD3:A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9"/>
  <sheetViews>
    <sheetView workbookViewId="0">
      <selection activeCell="AK15" sqref="AK15"/>
    </sheetView>
  </sheetViews>
  <sheetFormatPr defaultRowHeight="14.4" x14ac:dyDescent="0.3"/>
  <cols>
    <col min="1" max="1" width="26.33203125" customWidth="1"/>
    <col min="2" max="29" width="0" hidden="1" customWidth="1"/>
  </cols>
  <sheetData>
    <row r="1" spans="1:35" x14ac:dyDescent="0.3">
      <c r="A1" s="3" t="s">
        <v>21</v>
      </c>
    </row>
    <row r="2" spans="1:35" x14ac:dyDescent="0.3">
      <c r="A2" s="3"/>
    </row>
    <row r="3" spans="1:35" x14ac:dyDescent="0.3">
      <c r="A3" s="364"/>
      <c r="B3" s="6">
        <v>2003</v>
      </c>
      <c r="C3" s="7"/>
      <c r="D3" s="6">
        <v>2004</v>
      </c>
      <c r="E3" s="7"/>
      <c r="F3" s="6">
        <v>2005</v>
      </c>
      <c r="G3" s="7"/>
      <c r="H3" s="6">
        <v>2006</v>
      </c>
      <c r="I3" s="7"/>
      <c r="J3" s="6">
        <v>2007</v>
      </c>
      <c r="K3" s="7"/>
      <c r="L3" s="6">
        <v>2008</v>
      </c>
      <c r="M3" s="7"/>
      <c r="N3" s="6">
        <v>2009</v>
      </c>
      <c r="O3" s="7"/>
      <c r="P3" s="6">
        <v>2010</v>
      </c>
      <c r="Q3" s="7"/>
      <c r="R3" s="562">
        <v>2011</v>
      </c>
      <c r="S3" s="563"/>
      <c r="T3" s="562">
        <v>2012</v>
      </c>
      <c r="U3" s="563"/>
      <c r="V3" s="557">
        <v>2013</v>
      </c>
      <c r="W3" s="558"/>
      <c r="X3" s="557">
        <v>2014</v>
      </c>
      <c r="Y3" s="558"/>
      <c r="Z3" s="557">
        <v>2015</v>
      </c>
      <c r="AA3" s="558"/>
      <c r="AB3" s="561">
        <v>2016</v>
      </c>
      <c r="AC3" s="559"/>
      <c r="AD3" s="561">
        <v>2017</v>
      </c>
      <c r="AE3" s="560"/>
      <c r="AF3" s="559">
        <v>2018</v>
      </c>
      <c r="AG3" s="560"/>
      <c r="AH3" s="555">
        <v>2019</v>
      </c>
      <c r="AI3" s="556"/>
    </row>
    <row r="4" spans="1:35" x14ac:dyDescent="0.3">
      <c r="A4" s="8"/>
      <c r="B4" s="9"/>
      <c r="C4" s="10" t="s">
        <v>9</v>
      </c>
      <c r="D4" s="9"/>
      <c r="E4" s="10" t="s">
        <v>9</v>
      </c>
      <c r="F4" s="9"/>
      <c r="G4" s="10" t="s">
        <v>9</v>
      </c>
      <c r="H4" s="9"/>
      <c r="I4" s="10" t="s">
        <v>9</v>
      </c>
      <c r="J4" s="9"/>
      <c r="K4" s="10" t="s">
        <v>9</v>
      </c>
      <c r="L4" s="9"/>
      <c r="M4" s="10" t="s">
        <v>9</v>
      </c>
      <c r="N4" s="9"/>
      <c r="O4" s="10" t="s">
        <v>9</v>
      </c>
      <c r="P4" s="9"/>
      <c r="Q4" s="10" t="s">
        <v>9</v>
      </c>
      <c r="R4" s="9"/>
      <c r="S4" s="10" t="s">
        <v>9</v>
      </c>
      <c r="T4" s="9"/>
      <c r="U4" s="10" t="s">
        <v>9</v>
      </c>
      <c r="V4" s="9"/>
      <c r="W4" s="10" t="s">
        <v>9</v>
      </c>
      <c r="X4" s="9"/>
      <c r="Y4" s="10" t="s">
        <v>9</v>
      </c>
      <c r="Z4" s="9"/>
      <c r="AA4" s="10" t="s">
        <v>9</v>
      </c>
      <c r="AB4" s="451"/>
      <c r="AC4" s="446" t="s">
        <v>9</v>
      </c>
      <c r="AD4" s="451"/>
      <c r="AE4" s="452" t="s">
        <v>9</v>
      </c>
      <c r="AF4" s="446"/>
      <c r="AG4" s="452" t="s">
        <v>9</v>
      </c>
      <c r="AH4" s="505"/>
      <c r="AI4" s="506" t="s">
        <v>9</v>
      </c>
    </row>
    <row r="5" spans="1:35" x14ac:dyDescent="0.3">
      <c r="A5" s="11" t="s">
        <v>2</v>
      </c>
      <c r="B5" s="12">
        <v>643</v>
      </c>
      <c r="C5" s="7"/>
      <c r="D5" s="12"/>
      <c r="E5" s="7"/>
      <c r="F5" s="12"/>
      <c r="G5" s="7"/>
      <c r="H5" s="12"/>
      <c r="I5" s="7"/>
      <c r="J5" s="12"/>
      <c r="K5" s="7"/>
      <c r="L5" s="12"/>
      <c r="M5" s="7"/>
      <c r="N5" s="12"/>
      <c r="O5" s="7"/>
      <c r="P5" s="12">
        <v>715</v>
      </c>
      <c r="Q5" s="7"/>
      <c r="R5" s="12">
        <v>786</v>
      </c>
      <c r="S5" s="7"/>
      <c r="T5" s="12">
        <v>705</v>
      </c>
      <c r="U5" s="7"/>
      <c r="V5" s="18">
        <v>743</v>
      </c>
      <c r="W5" s="19"/>
      <c r="X5" s="18">
        <v>676</v>
      </c>
      <c r="Y5" s="19"/>
      <c r="Z5" s="18">
        <v>680</v>
      </c>
      <c r="AA5" s="19"/>
      <c r="AB5" s="453">
        <v>734</v>
      </c>
      <c r="AC5" s="447"/>
      <c r="AD5" s="453">
        <v>721</v>
      </c>
      <c r="AE5" s="454"/>
      <c r="AF5" s="449">
        <v>719</v>
      </c>
      <c r="AG5" s="454"/>
      <c r="AH5" s="507">
        <v>800</v>
      </c>
      <c r="AI5" s="508"/>
    </row>
    <row r="6" spans="1:35" x14ac:dyDescent="0.3">
      <c r="A6" s="13" t="s">
        <v>22</v>
      </c>
      <c r="B6" s="365">
        <v>438</v>
      </c>
      <c r="C6" s="4">
        <f>B6/B5</f>
        <v>0.6811819595645412</v>
      </c>
      <c r="D6" s="365"/>
      <c r="E6" s="4" t="e">
        <f>D6/D5</f>
        <v>#DIV/0!</v>
      </c>
      <c r="F6" s="365"/>
      <c r="G6" s="4" t="e">
        <f>F6/F5</f>
        <v>#DIV/0!</v>
      </c>
      <c r="H6" s="365"/>
      <c r="I6" s="4" t="e">
        <f>H6/H5</f>
        <v>#DIV/0!</v>
      </c>
      <c r="J6" s="365"/>
      <c r="K6" s="4" t="e">
        <f>J6/J5</f>
        <v>#DIV/0!</v>
      </c>
      <c r="L6" s="365"/>
      <c r="M6" s="4" t="e">
        <f>L6/L5</f>
        <v>#DIV/0!</v>
      </c>
      <c r="N6" s="365"/>
      <c r="O6" s="4" t="e">
        <f>N6/N5</f>
        <v>#DIV/0!</v>
      </c>
      <c r="P6" s="365">
        <v>519</v>
      </c>
      <c r="Q6" s="4">
        <v>0.72587412587412592</v>
      </c>
      <c r="R6" s="365">
        <v>586</v>
      </c>
      <c r="S6" s="4">
        <v>0.74554707379134855</v>
      </c>
      <c r="T6" s="365">
        <v>503</v>
      </c>
      <c r="U6" s="4">
        <v>0.71347517730496457</v>
      </c>
      <c r="V6" s="365">
        <v>545</v>
      </c>
      <c r="W6" s="4">
        <v>0.73351278600269176</v>
      </c>
      <c r="X6" s="365">
        <v>480</v>
      </c>
      <c r="Y6" s="4">
        <v>0.7100591715976331</v>
      </c>
      <c r="Z6" s="365">
        <v>511</v>
      </c>
      <c r="AA6" s="4">
        <f>Z6/Z5</f>
        <v>0.75147058823529411</v>
      </c>
      <c r="AB6" s="455">
        <v>533</v>
      </c>
      <c r="AC6" s="448">
        <f>AB6/AB5</f>
        <v>0.72615803814713897</v>
      </c>
      <c r="AD6" s="455">
        <v>520</v>
      </c>
      <c r="AE6" s="456">
        <f>AD6/AD5</f>
        <v>0.72122052704576978</v>
      </c>
      <c r="AF6" s="450">
        <v>531</v>
      </c>
      <c r="AG6" s="456">
        <f>AF6/AF5</f>
        <v>0.73852573018080669</v>
      </c>
      <c r="AH6" s="509">
        <v>499</v>
      </c>
      <c r="AI6" s="510">
        <f>AH6/AH5</f>
        <v>0.62375000000000003</v>
      </c>
    </row>
    <row r="8" spans="1:35" x14ac:dyDescent="0.3">
      <c r="A8" s="81" t="s">
        <v>26</v>
      </c>
      <c r="AD8" s="82" t="s">
        <v>27</v>
      </c>
    </row>
    <row r="9" spans="1:35" x14ac:dyDescent="0.3">
      <c r="A9" s="83" t="s">
        <v>51</v>
      </c>
      <c r="B9" s="84" t="s">
        <v>52</v>
      </c>
      <c r="AD9" s="84" t="s">
        <v>52</v>
      </c>
    </row>
  </sheetData>
  <mergeCells count="9">
    <mergeCell ref="AH3:AI3"/>
    <mergeCell ref="AF3:AG3"/>
    <mergeCell ref="Z3:AA3"/>
    <mergeCell ref="R3:S3"/>
    <mergeCell ref="T3:U3"/>
    <mergeCell ref="V3:W3"/>
    <mergeCell ref="X3:Y3"/>
    <mergeCell ref="AB3:AC3"/>
    <mergeCell ref="AD3:A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overall</vt:lpstr>
      <vt:lpstr>race</vt:lpstr>
      <vt:lpstr>gender</vt:lpstr>
      <vt:lpstr>Race and Gender</vt:lpstr>
      <vt:lpstr>Pell</vt:lpstr>
      <vt:lpstr>Stafford</vt:lpstr>
      <vt:lpstr>No Pell or Stafford</vt:lpstr>
      <vt:lpstr>overall!Print_Area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pxliao</dc:creator>
  <cp:lastModifiedBy>Christopher Stockus</cp:lastModifiedBy>
  <cp:lastPrinted>2019-07-18T14:22:57Z</cp:lastPrinted>
  <dcterms:created xsi:type="dcterms:W3CDTF">2010-03-04T15:16:43Z</dcterms:created>
  <dcterms:modified xsi:type="dcterms:W3CDTF">2026-04-28T18:46:34Z</dcterms:modified>
</cp:coreProperties>
</file>